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5" yWindow="45" windowWidth="4275" windowHeight="8760" activeTab="2"/>
  </bookViews>
  <sheets>
    <sheet name="Commentaires" sheetId="4" r:id="rId1"/>
    <sheet name="Freinage" sheetId="1" r:id="rId2"/>
    <sheet name="Pente" sheetId="2" r:id="rId3"/>
    <sheet name="Angles" sheetId="5" r:id="rId4"/>
    <sheet name="PK" sheetId="8" state="hidden" r:id="rId5"/>
    <sheet name="Heure" sheetId="9" r:id="rId6"/>
    <sheet name="Courbe" sheetId="10" r:id="rId7"/>
  </sheets>
  <definedNames>
    <definedName name="_xlnm.Print_Area" localSheetId="1">Freinage!$A$1:$S$63</definedName>
    <definedName name="_xlnm.Print_Area" localSheetId="2">Pente!$A$2:$G$32</definedName>
  </definedNames>
  <calcPr calcId="125725"/>
</workbook>
</file>

<file path=xl/calcChain.xml><?xml version="1.0" encoding="utf-8"?>
<calcChain xmlns="http://schemas.openxmlformats.org/spreadsheetml/2006/main">
  <c r="C2" i="10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C21" s="1"/>
  <c r="A3"/>
  <c r="C3" s="1"/>
  <c r="B11" i="5"/>
  <c r="C11" s="1"/>
  <c r="B9"/>
  <c r="C9" s="1"/>
  <c r="B25" i="8"/>
  <c r="B20"/>
  <c r="B2" i="2"/>
  <c r="E7" s="1"/>
  <c r="F7" s="1"/>
  <c r="G7" s="1"/>
  <c r="G43" i="8"/>
  <c r="G42"/>
  <c r="G41"/>
  <c r="G40"/>
  <c r="G39"/>
  <c r="G38"/>
  <c r="G37"/>
  <c r="G36"/>
  <c r="G35"/>
  <c r="G34"/>
  <c r="G33"/>
  <c r="G32"/>
  <c r="G31"/>
  <c r="G30"/>
  <c r="I30"/>
  <c r="C16" i="9"/>
  <c r="C15"/>
  <c r="C14"/>
  <c r="C13"/>
  <c r="C12"/>
  <c r="C11"/>
  <c r="C10"/>
  <c r="C9"/>
  <c r="C8"/>
  <c r="C7"/>
  <c r="C6"/>
  <c r="C5"/>
  <c r="C4"/>
  <c r="C3"/>
  <c r="F25" i="8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14" i="5"/>
  <c r="D37"/>
  <c r="F35"/>
  <c r="F20"/>
  <c r="B24" i="2"/>
  <c r="B23"/>
  <c r="B22"/>
  <c r="B21"/>
  <c r="B20"/>
  <c r="B19"/>
  <c r="B18"/>
  <c r="B17"/>
  <c r="B16"/>
  <c r="B15"/>
  <c r="B14"/>
  <c r="B13"/>
  <c r="B12"/>
  <c r="B11"/>
  <c r="B10"/>
  <c r="B9"/>
  <c r="B8"/>
  <c r="B7"/>
  <c r="B6"/>
  <c r="B25"/>
  <c r="C24"/>
  <c r="D24" s="1"/>
  <c r="C23"/>
  <c r="C22"/>
  <c r="D23"/>
  <c r="C21"/>
  <c r="D22" s="1"/>
  <c r="C20"/>
  <c r="D20" s="1"/>
  <c r="C19"/>
  <c r="C18"/>
  <c r="D19"/>
  <c r="C17"/>
  <c r="D18" s="1"/>
  <c r="C16"/>
  <c r="D16" s="1"/>
  <c r="C15"/>
  <c r="B13" i="5"/>
  <c r="C13" s="1"/>
  <c r="C43" i="8"/>
  <c r="C42"/>
  <c r="C41"/>
  <c r="C40"/>
  <c r="C39"/>
  <c r="C38"/>
  <c r="C37"/>
  <c r="H37" s="1"/>
  <c r="C36"/>
  <c r="C35"/>
  <c r="C34"/>
  <c r="C33"/>
  <c r="C32"/>
  <c r="C31"/>
  <c r="C30"/>
  <c r="F44"/>
  <c r="C2" i="9"/>
  <c r="F3" i="8"/>
  <c r="E30"/>
  <c r="C25"/>
  <c r="C20"/>
  <c r="H18"/>
  <c r="H17"/>
  <c r="H16"/>
  <c r="H15"/>
  <c r="H14"/>
  <c r="H13"/>
  <c r="H12"/>
  <c r="H11"/>
  <c r="H10"/>
  <c r="H9"/>
  <c r="H8"/>
  <c r="H7"/>
  <c r="H6"/>
  <c r="H5"/>
  <c r="H4"/>
  <c r="H3"/>
  <c r="D3"/>
  <c r="D4"/>
  <c r="D5"/>
  <c r="D6"/>
  <c r="D7"/>
  <c r="D8"/>
  <c r="D9"/>
  <c r="D10"/>
  <c r="D11"/>
  <c r="D12"/>
  <c r="D13"/>
  <c r="B3" i="5"/>
  <c r="C3" s="1"/>
  <c r="F15"/>
  <c r="G3" i="1"/>
  <c r="H3"/>
  <c r="G24"/>
  <c r="H24"/>
  <c r="I24" s="1"/>
  <c r="J24"/>
  <c r="K24" s="1"/>
  <c r="L24" s="1"/>
  <c r="M24" s="1"/>
  <c r="N24" s="1"/>
  <c r="O24" s="1"/>
  <c r="P24" s="1"/>
  <c r="Q24" s="1"/>
  <c r="R24" s="1"/>
  <c r="S24" s="1"/>
  <c r="H21"/>
  <c r="H42" s="1"/>
  <c r="H43" s="1"/>
  <c r="G21"/>
  <c r="G42" s="1"/>
  <c r="G43" s="1"/>
  <c r="F21"/>
  <c r="F42" s="1"/>
  <c r="F43" s="1"/>
  <c r="E21"/>
  <c r="E42" s="1"/>
  <c r="B6" i="5"/>
  <c r="C6" s="1"/>
  <c r="B8"/>
  <c r="C8" s="1"/>
  <c r="B7"/>
  <c r="C7" s="1"/>
  <c r="B5"/>
  <c r="C5" s="1"/>
  <c r="B4"/>
  <c r="C4" s="1"/>
  <c r="A10"/>
  <c r="C6" i="2"/>
  <c r="D6"/>
  <c r="C7"/>
  <c r="D7" s="1"/>
  <c r="C8"/>
  <c r="D8"/>
  <c r="C9"/>
  <c r="C10"/>
  <c r="D10"/>
  <c r="E10" s="1"/>
  <c r="F10" s="1"/>
  <c r="G10" s="1"/>
  <c r="C11"/>
  <c r="D11" s="1"/>
  <c r="C12"/>
  <c r="D12"/>
  <c r="E12" s="1"/>
  <c r="F12" s="1"/>
  <c r="G12" s="1"/>
  <c r="C13"/>
  <c r="C14"/>
  <c r="D14"/>
  <c r="D15"/>
  <c r="E15" s="1"/>
  <c r="F15" s="1"/>
  <c r="G15" s="1"/>
  <c r="F30"/>
  <c r="D32"/>
  <c r="B4" i="1"/>
  <c r="B25" s="1"/>
  <c r="B46" s="1"/>
  <c r="C4"/>
  <c r="D4"/>
  <c r="C5"/>
  <c r="D6"/>
  <c r="D27" s="1"/>
  <c r="D48" s="1"/>
  <c r="D7"/>
  <c r="E7"/>
  <c r="E28" s="1"/>
  <c r="E49" s="1"/>
  <c r="F7"/>
  <c r="F28" s="1"/>
  <c r="G7"/>
  <c r="G28" s="1"/>
  <c r="A8"/>
  <c r="F8" s="1"/>
  <c r="E8"/>
  <c r="E29" s="1"/>
  <c r="E50" s="1"/>
  <c r="G8"/>
  <c r="G29" s="1"/>
  <c r="G50" s="1"/>
  <c r="A9"/>
  <c r="F9" s="1"/>
  <c r="E9"/>
  <c r="G9"/>
  <c r="G30" s="1"/>
  <c r="G51" s="1"/>
  <c r="A10"/>
  <c r="F10" s="1"/>
  <c r="F31" s="1"/>
  <c r="F52" s="1"/>
  <c r="E10"/>
  <c r="E31" s="1"/>
  <c r="E52" s="1"/>
  <c r="G10"/>
  <c r="A11"/>
  <c r="E11"/>
  <c r="F11"/>
  <c r="G11"/>
  <c r="A12"/>
  <c r="E12"/>
  <c r="E33" s="1"/>
  <c r="E54" s="1"/>
  <c r="F12"/>
  <c r="F33" s="1"/>
  <c r="F54" s="1"/>
  <c r="G12"/>
  <c r="A13"/>
  <c r="E13"/>
  <c r="E34" s="1"/>
  <c r="E55" s="1"/>
  <c r="F13"/>
  <c r="G13"/>
  <c r="A14"/>
  <c r="E14"/>
  <c r="E35" s="1"/>
  <c r="E56" s="1"/>
  <c r="F14"/>
  <c r="F35" s="1"/>
  <c r="F56" s="1"/>
  <c r="G14"/>
  <c r="A15"/>
  <c r="E15"/>
  <c r="E36" s="1"/>
  <c r="E57" s="1"/>
  <c r="F15"/>
  <c r="F36" s="1"/>
  <c r="F57" s="1"/>
  <c r="G15"/>
  <c r="A16"/>
  <c r="E16"/>
  <c r="F16"/>
  <c r="F37" s="1"/>
  <c r="F58" s="1"/>
  <c r="G16"/>
  <c r="A17"/>
  <c r="E17"/>
  <c r="E38" s="1"/>
  <c r="E59" s="1"/>
  <c r="F17"/>
  <c r="F38" s="1"/>
  <c r="F59" s="1"/>
  <c r="G17"/>
  <c r="A18"/>
  <c r="E18" s="1"/>
  <c r="E39" s="1"/>
  <c r="E60" s="1"/>
  <c r="G18"/>
  <c r="G39" s="1"/>
  <c r="G60" s="1"/>
  <c r="H18"/>
  <c r="H39" s="1"/>
  <c r="H60" s="1"/>
  <c r="A19"/>
  <c r="E19" s="1"/>
  <c r="G19"/>
  <c r="G40" s="1"/>
  <c r="G61" s="1"/>
  <c r="H19"/>
  <c r="H40" s="1"/>
  <c r="H61" s="1"/>
  <c r="A20"/>
  <c r="E20" s="1"/>
  <c r="G20"/>
  <c r="H20"/>
  <c r="C26"/>
  <c r="C47" s="1"/>
  <c r="D28"/>
  <c r="D49" s="1"/>
  <c r="A29"/>
  <c r="A30" s="1"/>
  <c r="A31" s="1"/>
  <c r="A32" s="1"/>
  <c r="A33" s="1"/>
  <c r="A34" s="1"/>
  <c r="A35" s="1"/>
  <c r="A36" s="1"/>
  <c r="A37" s="1"/>
  <c r="A38" s="1"/>
  <c r="A39" s="1"/>
  <c r="A40" s="1"/>
  <c r="A41" s="1"/>
  <c r="F29"/>
  <c r="F50" s="1"/>
  <c r="B30"/>
  <c r="C30"/>
  <c r="D30"/>
  <c r="E30"/>
  <c r="E51" s="1"/>
  <c r="F30"/>
  <c r="F51" s="1"/>
  <c r="G31"/>
  <c r="G52" s="1"/>
  <c r="E32"/>
  <c r="E53" s="1"/>
  <c r="F32"/>
  <c r="F53" s="1"/>
  <c r="G32"/>
  <c r="G53" s="1"/>
  <c r="G33"/>
  <c r="G54" s="1"/>
  <c r="F34"/>
  <c r="F55" s="1"/>
  <c r="G34"/>
  <c r="G55" s="1"/>
  <c r="G35"/>
  <c r="G56" s="1"/>
  <c r="G36"/>
  <c r="E37"/>
  <c r="E58" s="1"/>
  <c r="G37"/>
  <c r="G58" s="1"/>
  <c r="G38"/>
  <c r="E40"/>
  <c r="E61" s="1"/>
  <c r="E41"/>
  <c r="E62" s="1"/>
  <c r="G41"/>
  <c r="H41"/>
  <c r="H62" s="1"/>
  <c r="G45"/>
  <c r="H45" s="1"/>
  <c r="I45" s="1"/>
  <c r="J45" s="1"/>
  <c r="K45" s="1"/>
  <c r="L45" s="1"/>
  <c r="M45" s="1"/>
  <c r="N45" s="1"/>
  <c r="O45" s="1"/>
  <c r="P45" s="1"/>
  <c r="Q45" s="1"/>
  <c r="R45" s="1"/>
  <c r="S45" s="1"/>
  <c r="A50"/>
  <c r="A51"/>
  <c r="H51"/>
  <c r="A52"/>
  <c r="A53"/>
  <c r="A54"/>
  <c r="A55"/>
  <c r="A56"/>
  <c r="A57"/>
  <c r="G57"/>
  <c r="A58"/>
  <c r="A59"/>
  <c r="G59"/>
  <c r="A60"/>
  <c r="A61"/>
  <c r="A62"/>
  <c r="G62"/>
  <c r="F63"/>
  <c r="H63"/>
  <c r="H74"/>
  <c r="I74"/>
  <c r="J74"/>
  <c r="K75" s="1"/>
  <c r="K74"/>
  <c r="L74"/>
  <c r="M74"/>
  <c r="N74"/>
  <c r="O75" s="1"/>
  <c r="O74"/>
  <c r="P75" s="1"/>
  <c r="P74"/>
  <c r="Q74"/>
  <c r="R74"/>
  <c r="S75" s="1"/>
  <c r="I75"/>
  <c r="M75"/>
  <c r="Q75"/>
  <c r="H76"/>
  <c r="H78" s="1"/>
  <c r="H79" s="1"/>
  <c r="I76"/>
  <c r="J76"/>
  <c r="K76"/>
  <c r="L76"/>
  <c r="M76"/>
  <c r="N76"/>
  <c r="O76"/>
  <c r="P76"/>
  <c r="P78" s="1"/>
  <c r="M68" s="1"/>
  <c r="M69" s="1"/>
  <c r="Q76"/>
  <c r="R76"/>
  <c r="H77"/>
  <c r="I77"/>
  <c r="J77"/>
  <c r="J78" s="1"/>
  <c r="K77"/>
  <c r="L77"/>
  <c r="M77"/>
  <c r="N77"/>
  <c r="N78" s="1"/>
  <c r="O77"/>
  <c r="P77"/>
  <c r="Q77"/>
  <c r="R77"/>
  <c r="R78" s="1"/>
  <c r="S77"/>
  <c r="L78"/>
  <c r="I68" s="1"/>
  <c r="I69" s="1"/>
  <c r="S78"/>
  <c r="S79"/>
  <c r="P68"/>
  <c r="P69" s="1"/>
  <c r="C25" i="2"/>
  <c r="D25"/>
  <c r="E25"/>
  <c r="F25" s="1"/>
  <c r="G25" s="1"/>
  <c r="H7"/>
  <c r="H11"/>
  <c r="H15"/>
  <c r="H19"/>
  <c r="H23"/>
  <c r="C5" i="10" l="1"/>
  <c r="C9"/>
  <c r="C13"/>
  <c r="C17"/>
  <c r="C4"/>
  <c r="C8"/>
  <c r="C12"/>
  <c r="C16"/>
  <c r="C20"/>
  <c r="C7"/>
  <c r="C11"/>
  <c r="C15"/>
  <c r="C19"/>
  <c r="C6"/>
  <c r="C10"/>
  <c r="C14"/>
  <c r="C18"/>
  <c r="J79" i="1"/>
  <c r="Q78"/>
  <c r="Q79" s="1"/>
  <c r="M78"/>
  <c r="M79" s="1"/>
  <c r="I78"/>
  <c r="I79" s="1"/>
  <c r="L75"/>
  <c r="J75"/>
  <c r="O78"/>
  <c r="K78"/>
  <c r="R75"/>
  <c r="N75"/>
  <c r="H20" i="2"/>
  <c r="H8"/>
  <c r="E8"/>
  <c r="F8" s="1"/>
  <c r="G8" s="1"/>
  <c r="E6"/>
  <c r="F6" s="1"/>
  <c r="G6" s="1"/>
  <c r="E16"/>
  <c r="F16" s="1"/>
  <c r="G16" s="1"/>
  <c r="E18"/>
  <c r="F18" s="1"/>
  <c r="G18" s="1"/>
  <c r="E24"/>
  <c r="F24" s="1"/>
  <c r="G24" s="1"/>
  <c r="H24"/>
  <c r="H16"/>
  <c r="H12"/>
  <c r="H21"/>
  <c r="H17"/>
  <c r="H13"/>
  <c r="H9"/>
  <c r="E11"/>
  <c r="F11" s="1"/>
  <c r="G11" s="1"/>
  <c r="E20"/>
  <c r="F20" s="1"/>
  <c r="G20" s="1"/>
  <c r="E23"/>
  <c r="F23" s="1"/>
  <c r="G23" s="1"/>
  <c r="E19"/>
  <c r="F19" s="1"/>
  <c r="G19" s="1"/>
  <c r="H22"/>
  <c r="H18"/>
  <c r="H14"/>
  <c r="H10"/>
  <c r="H6"/>
  <c r="E14"/>
  <c r="F14" s="1"/>
  <c r="G14" s="1"/>
  <c r="E22"/>
  <c r="F22" s="1"/>
  <c r="G22" s="1"/>
  <c r="E43" i="1"/>
  <c r="E63"/>
  <c r="G63"/>
  <c r="O68"/>
  <c r="O69" s="1"/>
  <c r="R79"/>
  <c r="K68"/>
  <c r="K69" s="1"/>
  <c r="N79"/>
  <c r="N68"/>
  <c r="N69" s="1"/>
  <c r="L79"/>
  <c r="J68"/>
  <c r="J69" s="1"/>
  <c r="P79"/>
  <c r="D15" i="8"/>
  <c r="F20" i="1"/>
  <c r="F41" s="1"/>
  <c r="F62" s="1"/>
  <c r="F19"/>
  <c r="F40" s="1"/>
  <c r="F61" s="1"/>
  <c r="F18"/>
  <c r="F39" s="1"/>
  <c r="F60" s="1"/>
  <c r="H7"/>
  <c r="H28" s="1"/>
  <c r="H8"/>
  <c r="H29" s="1"/>
  <c r="H50" s="1"/>
  <c r="H9"/>
  <c r="H10"/>
  <c r="H31" s="1"/>
  <c r="H52" s="1"/>
  <c r="H11"/>
  <c r="H32" s="1"/>
  <c r="H53" s="1"/>
  <c r="H12"/>
  <c r="H33" s="1"/>
  <c r="H54" s="1"/>
  <c r="H13"/>
  <c r="H34" s="1"/>
  <c r="H55" s="1"/>
  <c r="H14"/>
  <c r="H35" s="1"/>
  <c r="H56" s="1"/>
  <c r="H15"/>
  <c r="H36" s="1"/>
  <c r="H57" s="1"/>
  <c r="H16"/>
  <c r="H37" s="1"/>
  <c r="H58" s="1"/>
  <c r="H17"/>
  <c r="H38" s="1"/>
  <c r="H59" s="1"/>
  <c r="I3"/>
  <c r="D9" i="2"/>
  <c r="E9" s="1"/>
  <c r="F9" s="1"/>
  <c r="G9" s="1"/>
  <c r="D13"/>
  <c r="E13" s="1"/>
  <c r="F13" s="1"/>
  <c r="G13" s="1"/>
  <c r="D17"/>
  <c r="E17" s="1"/>
  <c r="F17" s="1"/>
  <c r="G17" s="1"/>
  <c r="D21"/>
  <c r="E21"/>
  <c r="F21" s="1"/>
  <c r="G21" s="1"/>
  <c r="A12" i="5"/>
  <c r="B10"/>
  <c r="C10" s="1"/>
  <c r="H25" i="2"/>
  <c r="O79" i="1" l="1"/>
  <c r="L68"/>
  <c r="L69" s="1"/>
  <c r="K79"/>
  <c r="H68"/>
  <c r="H69" s="1"/>
  <c r="I21"/>
  <c r="I42" s="1"/>
  <c r="I9"/>
  <c r="I30" s="1"/>
  <c r="I51" s="1"/>
  <c r="I16"/>
  <c r="I37" s="1"/>
  <c r="I58" s="1"/>
  <c r="I18"/>
  <c r="I39" s="1"/>
  <c r="I60" s="1"/>
  <c r="I19"/>
  <c r="I40" s="1"/>
  <c r="I61" s="1"/>
  <c r="I20"/>
  <c r="I41" s="1"/>
  <c r="I62" s="1"/>
  <c r="I10"/>
  <c r="I31" s="1"/>
  <c r="I52" s="1"/>
  <c r="I12"/>
  <c r="I33" s="1"/>
  <c r="I54" s="1"/>
  <c r="I14"/>
  <c r="I35" s="1"/>
  <c r="I56" s="1"/>
  <c r="I17"/>
  <c r="I38" s="1"/>
  <c r="I59" s="1"/>
  <c r="J3"/>
  <c r="I7"/>
  <c r="I28" s="1"/>
  <c r="I8"/>
  <c r="I29" s="1"/>
  <c r="I50" s="1"/>
  <c r="I11"/>
  <c r="I32" s="1"/>
  <c r="I53" s="1"/>
  <c r="I13"/>
  <c r="I34" s="1"/>
  <c r="I55" s="1"/>
  <c r="I15"/>
  <c r="I36" s="1"/>
  <c r="I57" s="1"/>
  <c r="B12" i="5"/>
  <c r="C12" s="1"/>
  <c r="A14"/>
  <c r="K3" i="1" l="1"/>
  <c r="J7"/>
  <c r="J28" s="1"/>
  <c r="J8"/>
  <c r="J29" s="1"/>
  <c r="J50" s="1"/>
  <c r="J9"/>
  <c r="J30" s="1"/>
  <c r="J51" s="1"/>
  <c r="J10"/>
  <c r="J31" s="1"/>
  <c r="J52" s="1"/>
  <c r="J11"/>
  <c r="J32" s="1"/>
  <c r="J53" s="1"/>
  <c r="J12"/>
  <c r="J33" s="1"/>
  <c r="J54" s="1"/>
  <c r="J13"/>
  <c r="J34" s="1"/>
  <c r="J55" s="1"/>
  <c r="J14"/>
  <c r="J35" s="1"/>
  <c r="J56" s="1"/>
  <c r="J21"/>
  <c r="J42" s="1"/>
  <c r="J15"/>
  <c r="J36" s="1"/>
  <c r="J57" s="1"/>
  <c r="J16"/>
  <c r="J37" s="1"/>
  <c r="J58" s="1"/>
  <c r="J18"/>
  <c r="J39" s="1"/>
  <c r="J60" s="1"/>
  <c r="J19"/>
  <c r="J40" s="1"/>
  <c r="J61" s="1"/>
  <c r="J20"/>
  <c r="J41" s="1"/>
  <c r="J62" s="1"/>
  <c r="J17"/>
  <c r="J38" s="1"/>
  <c r="J59" s="1"/>
  <c r="B14" i="5"/>
  <c r="C14" s="1"/>
  <c r="A15"/>
  <c r="I43" i="1"/>
  <c r="I63"/>
  <c r="B15" i="5" l="1"/>
  <c r="C15" s="1"/>
  <c r="A16"/>
  <c r="J43" i="1"/>
  <c r="J63"/>
  <c r="K21"/>
  <c r="K42" s="1"/>
  <c r="K8"/>
  <c r="K29" s="1"/>
  <c r="K50" s="1"/>
  <c r="K11"/>
  <c r="K32" s="1"/>
  <c r="K53" s="1"/>
  <c r="K13"/>
  <c r="K34" s="1"/>
  <c r="K55" s="1"/>
  <c r="K9"/>
  <c r="K30" s="1"/>
  <c r="K51" s="1"/>
  <c r="K15"/>
  <c r="K36" s="1"/>
  <c r="K57" s="1"/>
  <c r="K10"/>
  <c r="K31" s="1"/>
  <c r="K52" s="1"/>
  <c r="K12"/>
  <c r="K33" s="1"/>
  <c r="K54" s="1"/>
  <c r="K14"/>
  <c r="K35" s="1"/>
  <c r="K56" s="1"/>
  <c r="K16"/>
  <c r="K37" s="1"/>
  <c r="K58" s="1"/>
  <c r="K18"/>
  <c r="K39" s="1"/>
  <c r="K60" s="1"/>
  <c r="K19"/>
  <c r="K40" s="1"/>
  <c r="K61" s="1"/>
  <c r="K20"/>
  <c r="K41" s="1"/>
  <c r="K62" s="1"/>
  <c r="L3"/>
  <c r="K7"/>
  <c r="K28" s="1"/>
  <c r="K17"/>
  <c r="K38" s="1"/>
  <c r="K59" s="1"/>
  <c r="L7" l="1"/>
  <c r="L28" s="1"/>
  <c r="L8"/>
  <c r="L29" s="1"/>
  <c r="L50" s="1"/>
  <c r="L9"/>
  <c r="L30" s="1"/>
  <c r="L51" s="1"/>
  <c r="L10"/>
  <c r="L31" s="1"/>
  <c r="L52" s="1"/>
  <c r="L11"/>
  <c r="L32" s="1"/>
  <c r="L53" s="1"/>
  <c r="L12"/>
  <c r="L33" s="1"/>
  <c r="L54" s="1"/>
  <c r="L13"/>
  <c r="L34" s="1"/>
  <c r="L55" s="1"/>
  <c r="L14"/>
  <c r="L35" s="1"/>
  <c r="L56" s="1"/>
  <c r="L15"/>
  <c r="L36" s="1"/>
  <c r="L57" s="1"/>
  <c r="L16"/>
  <c r="L37" s="1"/>
  <c r="L58" s="1"/>
  <c r="L17"/>
  <c r="L38" s="1"/>
  <c r="L59" s="1"/>
  <c r="M3"/>
  <c r="L21"/>
  <c r="L42" s="1"/>
  <c r="L18"/>
  <c r="L39" s="1"/>
  <c r="L60" s="1"/>
  <c r="L19"/>
  <c r="L40" s="1"/>
  <c r="L61" s="1"/>
  <c r="L20"/>
  <c r="L41" s="1"/>
  <c r="L62" s="1"/>
  <c r="K43"/>
  <c r="K63"/>
  <c r="A17" i="5"/>
  <c r="B16"/>
  <c r="C16" s="1"/>
  <c r="B17" l="1"/>
  <c r="C17" s="1"/>
  <c r="A18"/>
  <c r="M21" i="1"/>
  <c r="M42" s="1"/>
  <c r="N3"/>
  <c r="M7"/>
  <c r="M28" s="1"/>
  <c r="M17"/>
  <c r="M38" s="1"/>
  <c r="M59" s="1"/>
  <c r="M18"/>
  <c r="M39" s="1"/>
  <c r="M60" s="1"/>
  <c r="M19"/>
  <c r="M40" s="1"/>
  <c r="M61" s="1"/>
  <c r="M20"/>
  <c r="M41" s="1"/>
  <c r="M62" s="1"/>
  <c r="M8"/>
  <c r="M29" s="1"/>
  <c r="M50" s="1"/>
  <c r="M11"/>
  <c r="M32" s="1"/>
  <c r="M53" s="1"/>
  <c r="M13"/>
  <c r="M34" s="1"/>
  <c r="M55" s="1"/>
  <c r="M9"/>
  <c r="M30" s="1"/>
  <c r="M51" s="1"/>
  <c r="M15"/>
  <c r="M36" s="1"/>
  <c r="M57" s="1"/>
  <c r="M10"/>
  <c r="M31" s="1"/>
  <c r="M52" s="1"/>
  <c r="M12"/>
  <c r="M33" s="1"/>
  <c r="M54" s="1"/>
  <c r="M14"/>
  <c r="M35" s="1"/>
  <c r="M56" s="1"/>
  <c r="M16"/>
  <c r="M37" s="1"/>
  <c r="M58" s="1"/>
  <c r="L43"/>
  <c r="L63"/>
  <c r="O3" l="1"/>
  <c r="N7"/>
  <c r="N28" s="1"/>
  <c r="N8"/>
  <c r="N29" s="1"/>
  <c r="N50" s="1"/>
  <c r="N9"/>
  <c r="N30" s="1"/>
  <c r="N51" s="1"/>
  <c r="N10"/>
  <c r="N31" s="1"/>
  <c r="N52" s="1"/>
  <c r="N11"/>
  <c r="N32" s="1"/>
  <c r="N53" s="1"/>
  <c r="N12"/>
  <c r="N33" s="1"/>
  <c r="N54" s="1"/>
  <c r="N13"/>
  <c r="N34" s="1"/>
  <c r="N55" s="1"/>
  <c r="N14"/>
  <c r="N35" s="1"/>
  <c r="N56" s="1"/>
  <c r="N16"/>
  <c r="N37" s="1"/>
  <c r="N58" s="1"/>
  <c r="N17"/>
  <c r="N38" s="1"/>
  <c r="N59" s="1"/>
  <c r="N18"/>
  <c r="N39" s="1"/>
  <c r="N60" s="1"/>
  <c r="N19"/>
  <c r="N40" s="1"/>
  <c r="N61" s="1"/>
  <c r="N20"/>
  <c r="N41" s="1"/>
  <c r="N62" s="1"/>
  <c r="N21"/>
  <c r="N42" s="1"/>
  <c r="N15"/>
  <c r="N36" s="1"/>
  <c r="N57" s="1"/>
  <c r="B18" i="5"/>
  <c r="C18" s="1"/>
  <c r="A19"/>
  <c r="M43" i="1"/>
  <c r="M63"/>
  <c r="O21" l="1"/>
  <c r="O42" s="1"/>
  <c r="O10"/>
  <c r="O31" s="1"/>
  <c r="O52" s="1"/>
  <c r="O12"/>
  <c r="O33" s="1"/>
  <c r="O54" s="1"/>
  <c r="O14"/>
  <c r="O35" s="1"/>
  <c r="O56" s="1"/>
  <c r="O15"/>
  <c r="O36" s="1"/>
  <c r="O57" s="1"/>
  <c r="P3"/>
  <c r="O7"/>
  <c r="O28" s="1"/>
  <c r="O16"/>
  <c r="O37" s="1"/>
  <c r="O58" s="1"/>
  <c r="O8"/>
  <c r="O29" s="1"/>
  <c r="O50" s="1"/>
  <c r="O11"/>
  <c r="O32" s="1"/>
  <c r="O53" s="1"/>
  <c r="O13"/>
  <c r="O34" s="1"/>
  <c r="O55" s="1"/>
  <c r="O17"/>
  <c r="O38" s="1"/>
  <c r="O59" s="1"/>
  <c r="O18"/>
  <c r="O39" s="1"/>
  <c r="O60" s="1"/>
  <c r="O19"/>
  <c r="O40" s="1"/>
  <c r="O61" s="1"/>
  <c r="O20"/>
  <c r="O41" s="1"/>
  <c r="O62" s="1"/>
  <c r="O9"/>
  <c r="O30" s="1"/>
  <c r="O51" s="1"/>
  <c r="A20" i="5"/>
  <c r="B19"/>
  <c r="C19" s="1"/>
  <c r="N43" i="1"/>
  <c r="N63"/>
  <c r="P7" l="1"/>
  <c r="P28" s="1"/>
  <c r="P8"/>
  <c r="P29" s="1"/>
  <c r="P50" s="1"/>
  <c r="P9"/>
  <c r="P30" s="1"/>
  <c r="P51" s="1"/>
  <c r="P10"/>
  <c r="P31" s="1"/>
  <c r="P52" s="1"/>
  <c r="P11"/>
  <c r="P32" s="1"/>
  <c r="P53" s="1"/>
  <c r="P12"/>
  <c r="P33" s="1"/>
  <c r="P54" s="1"/>
  <c r="P13"/>
  <c r="P34" s="1"/>
  <c r="P55" s="1"/>
  <c r="P14"/>
  <c r="P35" s="1"/>
  <c r="P56" s="1"/>
  <c r="P15"/>
  <c r="P36" s="1"/>
  <c r="P57" s="1"/>
  <c r="P16"/>
  <c r="P37" s="1"/>
  <c r="P58" s="1"/>
  <c r="Q3"/>
  <c r="P21"/>
  <c r="P42" s="1"/>
  <c r="P17"/>
  <c r="P38" s="1"/>
  <c r="P59" s="1"/>
  <c r="P18"/>
  <c r="P39" s="1"/>
  <c r="P60" s="1"/>
  <c r="P19"/>
  <c r="P40" s="1"/>
  <c r="P61" s="1"/>
  <c r="P20"/>
  <c r="P41" s="1"/>
  <c r="P62" s="1"/>
  <c r="A21" i="5"/>
  <c r="B20"/>
  <c r="C20" s="1"/>
  <c r="O43" i="1"/>
  <c r="O63"/>
  <c r="P43" l="1"/>
  <c r="P63"/>
  <c r="Q21"/>
  <c r="Q42" s="1"/>
  <c r="Q9"/>
  <c r="Q30" s="1"/>
  <c r="Q51" s="1"/>
  <c r="Q17"/>
  <c r="Q38" s="1"/>
  <c r="Q59" s="1"/>
  <c r="Q18"/>
  <c r="Q39" s="1"/>
  <c r="Q60" s="1"/>
  <c r="Q19"/>
  <c r="Q40" s="1"/>
  <c r="Q61" s="1"/>
  <c r="Q20"/>
  <c r="Q41" s="1"/>
  <c r="Q62" s="1"/>
  <c r="Q10"/>
  <c r="Q31" s="1"/>
  <c r="Q52" s="1"/>
  <c r="Q12"/>
  <c r="Q33" s="1"/>
  <c r="Q54" s="1"/>
  <c r="Q14"/>
  <c r="Q35" s="1"/>
  <c r="Q56" s="1"/>
  <c r="Q15"/>
  <c r="Q36" s="1"/>
  <c r="Q57" s="1"/>
  <c r="R3"/>
  <c r="Q7"/>
  <c r="Q28" s="1"/>
  <c r="Q16"/>
  <c r="Q37" s="1"/>
  <c r="Q58" s="1"/>
  <c r="Q8"/>
  <c r="Q29" s="1"/>
  <c r="Q50" s="1"/>
  <c r="Q11"/>
  <c r="Q32" s="1"/>
  <c r="Q53" s="1"/>
  <c r="Q13"/>
  <c r="Q34" s="1"/>
  <c r="Q55" s="1"/>
  <c r="B21" i="5"/>
  <c r="C21" s="1"/>
  <c r="A22"/>
  <c r="B22" l="1"/>
  <c r="C22" s="1"/>
  <c r="A23"/>
  <c r="Q43" i="1"/>
  <c r="Q63"/>
  <c r="S3"/>
  <c r="R7"/>
  <c r="R28" s="1"/>
  <c r="R8"/>
  <c r="R29" s="1"/>
  <c r="R50" s="1"/>
  <c r="R9"/>
  <c r="R30" s="1"/>
  <c r="R51" s="1"/>
  <c r="R10"/>
  <c r="R31" s="1"/>
  <c r="R52" s="1"/>
  <c r="R11"/>
  <c r="R32" s="1"/>
  <c r="R53" s="1"/>
  <c r="R12"/>
  <c r="R33" s="1"/>
  <c r="R54" s="1"/>
  <c r="R13"/>
  <c r="R34" s="1"/>
  <c r="R55" s="1"/>
  <c r="R14"/>
  <c r="R35" s="1"/>
  <c r="R56" s="1"/>
  <c r="R21"/>
  <c r="R42" s="1"/>
  <c r="R17"/>
  <c r="R38" s="1"/>
  <c r="R59" s="1"/>
  <c r="R18"/>
  <c r="R39" s="1"/>
  <c r="R60" s="1"/>
  <c r="R19"/>
  <c r="R40" s="1"/>
  <c r="R61" s="1"/>
  <c r="R20"/>
  <c r="R41" s="1"/>
  <c r="R62" s="1"/>
  <c r="R15"/>
  <c r="R36" s="1"/>
  <c r="R57" s="1"/>
  <c r="R16"/>
  <c r="R37" s="1"/>
  <c r="R58" s="1"/>
  <c r="R43" l="1"/>
  <c r="R63"/>
  <c r="S8"/>
  <c r="S29" s="1"/>
  <c r="S50" s="1"/>
  <c r="S11"/>
  <c r="S32" s="1"/>
  <c r="S53" s="1"/>
  <c r="S13"/>
  <c r="S34" s="1"/>
  <c r="S55" s="1"/>
  <c r="S16"/>
  <c r="S37" s="1"/>
  <c r="S58" s="1"/>
  <c r="S9"/>
  <c r="S30" s="1"/>
  <c r="S51" s="1"/>
  <c r="S10"/>
  <c r="S31" s="1"/>
  <c r="S52" s="1"/>
  <c r="S12"/>
  <c r="S33" s="1"/>
  <c r="S54" s="1"/>
  <c r="S14"/>
  <c r="S35" s="1"/>
  <c r="S56" s="1"/>
  <c r="S17"/>
  <c r="S38" s="1"/>
  <c r="S59" s="1"/>
  <c r="S18"/>
  <c r="S39" s="1"/>
  <c r="S60" s="1"/>
  <c r="S19"/>
  <c r="S40" s="1"/>
  <c r="S61" s="1"/>
  <c r="S20"/>
  <c r="S41" s="1"/>
  <c r="S62" s="1"/>
  <c r="S21"/>
  <c r="S42" s="1"/>
  <c r="S7"/>
  <c r="S28" s="1"/>
  <c r="S15"/>
  <c r="S36" s="1"/>
  <c r="S57" s="1"/>
  <c r="B23" i="5"/>
  <c r="C23" s="1"/>
  <c r="A24"/>
  <c r="S43" i="1" l="1"/>
  <c r="S63"/>
  <c r="A25" i="5"/>
  <c r="B24"/>
  <c r="C24" s="1"/>
  <c r="B25" l="1"/>
  <c r="C25" s="1"/>
  <c r="A26"/>
  <c r="B26" l="1"/>
  <c r="C26" s="1"/>
  <c r="A27"/>
  <c r="A28" l="1"/>
  <c r="B28" s="1"/>
  <c r="C28" s="1"/>
  <c r="B27"/>
  <c r="C27" s="1"/>
</calcChain>
</file>

<file path=xl/sharedStrings.xml><?xml version="1.0" encoding="utf-8"?>
<sst xmlns="http://schemas.openxmlformats.org/spreadsheetml/2006/main" count="138" uniqueCount="116">
  <si>
    <t>Temps de freinage</t>
  </si>
  <si>
    <t>V0/V</t>
  </si>
  <si>
    <t>Dénivelé (m)</t>
  </si>
  <si>
    <t>Palier TS</t>
  </si>
  <si>
    <t>longueur des tronçons (m)</t>
  </si>
  <si>
    <t>Calcul de l'arrondi</t>
  </si>
  <si>
    <t>Longueur</t>
  </si>
  <si>
    <t>longueur</t>
  </si>
  <si>
    <t>Pente TS</t>
  </si>
  <si>
    <t>élévation</t>
  </si>
  <si>
    <t>Somme</t>
  </si>
  <si>
    <t>Reste</t>
  </si>
  <si>
    <t>rampe</t>
  </si>
  <si>
    <t>totale</t>
  </si>
  <si>
    <t>Calcul du dénivelé en fonction de la longueur et du pourcentage de pente</t>
  </si>
  <si>
    <t>Longueur de Pente (m)</t>
  </si>
  <si>
    <t>Pourcentage °/°°</t>
  </si>
  <si>
    <t>Equivalent TS ==&gt;</t>
  </si>
  <si>
    <t>Distance de freinage en m - Vitesse initiale // Vitesse finale</t>
  </si>
  <si>
    <t>distance équivalente TS en seconde</t>
  </si>
  <si>
    <t>Onglet Freinage :</t>
  </si>
  <si>
    <t>Commentaires</t>
  </si>
  <si>
    <t>Onglet Pente</t>
  </si>
  <si>
    <t>Tableau n° 1</t>
  </si>
  <si>
    <t>Dénivelé : altitude de départ - altitude d'arrivée</t>
  </si>
  <si>
    <t>Longueur des tronçons : longueur des sections de voie pour faire son arrondi de pente</t>
  </si>
  <si>
    <t>Tableau n° 2</t>
  </si>
  <si>
    <t>à partir d'un longueur de pente et d'un pourcentage de pente (exprimé en 'pour mille'), donne la hauteur du dénivelé et sa correspondance TS</t>
  </si>
  <si>
    <t>Onglet Horaire</t>
  </si>
  <si>
    <t>A partir d'une heure de départ, des temps de parcours et des arrêts en gare, donne les équivalents TS (colonnes G et H) à placer dans le .act de l'activité considérée. Utilisez Worpad.</t>
  </si>
  <si>
    <t>Tr_Activity_File (</t>
  </si>
  <si>
    <t>Player_Service_Definition ( TGV13</t>
  </si>
  <si>
    <t>Player_Traffic_Definition ( 46500</t>
  </si>
  <si>
    <t>ArrivalTime ( 46740 )</t>
  </si>
  <si>
    <t>DepartTime ( 46800 )</t>
  </si>
  <si>
    <t>SkipCount ( 0 )</t>
  </si>
  <si>
    <t>DistanceDownPath ( 1991.29 )</t>
  </si>
  <si>
    <t>PlatformStartID ( 73 )</t>
  </si>
  <si>
    <t>ArrivalTime ( 51660 )</t>
  </si>
  <si>
    <t>DepartTime ( 51720 )</t>
  </si>
  <si>
    <t>SkipCount ( 9 )</t>
  </si>
  <si>
    <t>en A1 : paramètre de décélération en m/s/s</t>
  </si>
  <si>
    <t>coût de la reprise de 0 à :</t>
  </si>
  <si>
    <t>Coût d'un démarrage</t>
  </si>
  <si>
    <t>Coût de l' arrêt</t>
  </si>
  <si>
    <t>Degré</t>
  </si>
  <si>
    <t>Radian</t>
  </si>
  <si>
    <t>Rayon</t>
  </si>
  <si>
    <t>Angle</t>
  </si>
  <si>
    <t>LONGUEUR</t>
  </si>
  <si>
    <t>RAYON</t>
  </si>
  <si>
    <t>ANGLE</t>
  </si>
  <si>
    <t>Long</t>
  </si>
  <si>
    <t>PK</t>
  </si>
  <si>
    <t>L</t>
  </si>
  <si>
    <t>Tunnels</t>
  </si>
  <si>
    <t>distance</t>
  </si>
  <si>
    <t>PK Montant</t>
  </si>
  <si>
    <t>PK Descendant</t>
  </si>
  <si>
    <t>PK desc</t>
  </si>
  <si>
    <t>PK mont</t>
  </si>
  <si>
    <t>PK départ</t>
  </si>
  <si>
    <t>Pas</t>
  </si>
  <si>
    <t>Distance</t>
  </si>
  <si>
    <t>Largeur</t>
  </si>
  <si>
    <t>Position</t>
  </si>
  <si>
    <t>ALT</t>
  </si>
  <si>
    <t>pmy</t>
  </si>
  <si>
    <t>papier</t>
  </si>
  <si>
    <t>hauteur</t>
  </si>
  <si>
    <t>poste1</t>
  </si>
  <si>
    <t>bif</t>
  </si>
  <si>
    <t>pn</t>
  </si>
  <si>
    <t>silo</t>
  </si>
  <si>
    <t>fertrève</t>
  </si>
  <si>
    <t>coudraie</t>
  </si>
  <si>
    <t>tunnel</t>
  </si>
  <si>
    <t>visduc</t>
  </si>
  <si>
    <t>bv</t>
  </si>
  <si>
    <t>madeleine</t>
  </si>
  <si>
    <t>7:01</t>
  </si>
  <si>
    <t>7:19</t>
  </si>
  <si>
    <t>7:24</t>
  </si>
  <si>
    <t>7:36</t>
  </si>
  <si>
    <t>7:56</t>
  </si>
  <si>
    <t>8:05</t>
  </si>
  <si>
    <t>8:15</t>
  </si>
  <si>
    <t>8:26</t>
  </si>
  <si>
    <t>8:40</t>
  </si>
  <si>
    <t>8:52</t>
  </si>
  <si>
    <t>9:08</t>
  </si>
  <si>
    <t>9:21</t>
  </si>
  <si>
    <t>9:34</t>
  </si>
  <si>
    <t>9:54</t>
  </si>
  <si>
    <t>10:08</t>
  </si>
  <si>
    <t>mad</t>
  </si>
  <si>
    <t>mon</t>
  </si>
  <si>
    <t>fer</t>
  </si>
  <si>
    <t>cou</t>
  </si>
  <si>
    <t>stp</t>
  </si>
  <si>
    <t>5s</t>
  </si>
  <si>
    <t>Altitude Début</t>
  </si>
  <si>
    <t>Altitude Fin</t>
  </si>
  <si>
    <t>Heure</t>
  </si>
  <si>
    <t># de secondes</t>
  </si>
  <si>
    <t>Lieu</t>
  </si>
  <si>
    <t>Ne modifier que les zones à fond vert</t>
  </si>
  <si>
    <t xml:space="preserve">Onglet Angles </t>
  </si>
  <si>
    <t>conversion degré / radian / TS</t>
  </si>
  <si>
    <t>calcul de longueur des arcs</t>
  </si>
  <si>
    <t>Onglet Heure</t>
  </si>
  <si>
    <t xml:space="preserve">calcul d'une heure donnée en secondes ; utilisé pour les activités en modification manuelle </t>
  </si>
  <si>
    <t>Palier TS : par défaut, un multiple de 0,150 compris entre -3,0 et +3,0</t>
  </si>
  <si>
    <t>Temps additionnel d'un arrêt en heure</t>
  </si>
  <si>
    <t>Temps et distance de freinage / Pose d'une Préannonce</t>
  </si>
  <si>
    <t>VITESSE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</si>
</sst>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h:mm:ss"/>
    <numFmt numFmtId="168" formatCode="h:mm;@"/>
  </numFmts>
  <fonts count="31">
    <font>
      <sz val="10"/>
      <name val="Arial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indexed="10"/>
      <name val="Comic Sans MS"/>
      <family val="4"/>
    </font>
    <font>
      <b/>
      <sz val="10"/>
      <name val="Comic Sans MS"/>
      <family val="4"/>
    </font>
    <font>
      <b/>
      <sz val="10"/>
      <name val="Arial"/>
      <family val="2"/>
    </font>
    <font>
      <b/>
      <sz val="10"/>
      <name val="Courier New"/>
      <family val="3"/>
    </font>
    <font>
      <sz val="10"/>
      <name val="Comic Sans MS"/>
      <family val="4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Comic Sans MS"/>
      <family val="4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indexed="4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Trebuchet MS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2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0" xfId="0" applyAlignment="1">
      <alignment vertical="center"/>
    </xf>
    <xf numFmtId="165" fontId="3" fillId="0" borderId="7" xfId="0" applyNumberFormat="1" applyFont="1" applyBorder="1" applyProtection="1"/>
    <xf numFmtId="0" fontId="3" fillId="0" borderId="7" xfId="0" applyFont="1" applyBorder="1" applyProtection="1"/>
    <xf numFmtId="165" fontId="6" fillId="0" borderId="8" xfId="0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165" fontId="4" fillId="0" borderId="8" xfId="0" applyNumberFormat="1" applyFont="1" applyBorder="1" applyAlignment="1" applyProtection="1">
      <alignment horizontal="center" vertical="center"/>
    </xf>
    <xf numFmtId="164" fontId="4" fillId="0" borderId="8" xfId="0" applyNumberFormat="1" applyFont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/>
    </xf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Protection="1"/>
    <xf numFmtId="164" fontId="7" fillId="0" borderId="11" xfId="0" applyNumberFormat="1" applyFont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2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5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0" fillId="0" borderId="14" xfId="0" applyBorder="1"/>
    <xf numFmtId="164" fontId="21" fillId="0" borderId="15" xfId="0" applyNumberFormat="1" applyFont="1" applyFill="1" applyBorder="1" applyProtection="1"/>
    <xf numFmtId="166" fontId="21" fillId="0" borderId="0" xfId="0" applyNumberFormat="1" applyFont="1" applyBorder="1" applyProtection="1"/>
    <xf numFmtId="166" fontId="21" fillId="0" borderId="16" xfId="0" applyNumberFormat="1" applyFont="1" applyBorder="1" applyProtection="1"/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" fontId="0" fillId="0" borderId="0" xfId="0" applyNumberFormat="1" applyBorder="1"/>
    <xf numFmtId="1" fontId="15" fillId="0" borderId="0" xfId="0" applyNumberFormat="1" applyFont="1" applyBorder="1"/>
    <xf numFmtId="0" fontId="20" fillId="0" borderId="0" xfId="0" applyFont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8" xfId="0" applyBorder="1"/>
    <xf numFmtId="0" fontId="0" fillId="0" borderId="23" xfId="0" applyBorder="1"/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" fontId="5" fillId="0" borderId="13" xfId="0" applyNumberFormat="1" applyFont="1" applyBorder="1"/>
    <xf numFmtId="164" fontId="5" fillId="3" borderId="13" xfId="0" applyNumberFormat="1" applyFont="1" applyFill="1" applyBorder="1"/>
    <xf numFmtId="0" fontId="24" fillId="0" borderId="14" xfId="0" applyFont="1" applyBorder="1" applyAlignment="1">
      <alignment horizontal="center" vertical="top"/>
    </xf>
    <xf numFmtId="0" fontId="24" fillId="0" borderId="20" xfId="0" applyFont="1" applyBorder="1" applyAlignment="1">
      <alignment horizontal="center" vertical="top"/>
    </xf>
    <xf numFmtId="164" fontId="24" fillId="0" borderId="17" xfId="0" applyNumberFormat="1" applyFont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4" fillId="0" borderId="1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164" fontId="0" fillId="0" borderId="0" xfId="0" applyNumberFormat="1"/>
    <xf numFmtId="164" fontId="15" fillId="0" borderId="0" xfId="0" applyNumberFormat="1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center"/>
    </xf>
    <xf numFmtId="164" fontId="24" fillId="0" borderId="2" xfId="0" applyNumberFormat="1" applyFont="1" applyBorder="1" applyAlignment="1">
      <alignment horizontal="right" vertical="top"/>
    </xf>
    <xf numFmtId="164" fontId="23" fillId="0" borderId="2" xfId="0" applyNumberFormat="1" applyFont="1" applyBorder="1" applyAlignment="1">
      <alignment horizontal="right" vertical="top"/>
    </xf>
    <xf numFmtId="164" fontId="24" fillId="0" borderId="16" xfId="0" applyNumberFormat="1" applyFont="1" applyBorder="1" applyAlignment="1">
      <alignment horizontal="right"/>
    </xf>
    <xf numFmtId="0" fontId="0" fillId="0" borderId="25" xfId="0" applyBorder="1"/>
    <xf numFmtId="1" fontId="0" fillId="0" borderId="1" xfId="0" applyNumberFormat="1" applyBorder="1"/>
    <xf numFmtId="1" fontId="0" fillId="2" borderId="18" xfId="0" applyNumberFormat="1" applyFill="1" applyBorder="1"/>
    <xf numFmtId="0" fontId="0" fillId="0" borderId="26" xfId="0" applyBorder="1"/>
    <xf numFmtId="0" fontId="0" fillId="0" borderId="2" xfId="0" applyBorder="1"/>
    <xf numFmtId="164" fontId="13" fillId="0" borderId="2" xfId="0" applyNumberFormat="1" applyFont="1" applyBorder="1" applyAlignment="1">
      <alignment horizontal="center"/>
    </xf>
    <xf numFmtId="0" fontId="0" fillId="0" borderId="27" xfId="0" applyBorder="1"/>
    <xf numFmtId="0" fontId="0" fillId="0" borderId="4" xfId="0" applyBorder="1"/>
    <xf numFmtId="0" fontId="0" fillId="0" borderId="4" xfId="0" applyFill="1" applyBorder="1"/>
    <xf numFmtId="0" fontId="0" fillId="0" borderId="28" xfId="0" applyBorder="1"/>
    <xf numFmtId="164" fontId="11" fillId="0" borderId="1" xfId="0" applyNumberFormat="1" applyFont="1" applyBorder="1"/>
    <xf numFmtId="164" fontId="0" fillId="0" borderId="2" xfId="0" applyNumberFormat="1" applyBorder="1"/>
    <xf numFmtId="1" fontId="0" fillId="0" borderId="2" xfId="0" applyNumberFormat="1" applyBorder="1"/>
    <xf numFmtId="0" fontId="0" fillId="0" borderId="16" xfId="0" applyBorder="1"/>
    <xf numFmtId="164" fontId="0" fillId="0" borderId="7" xfId="0" applyNumberFormat="1" applyBorder="1"/>
    <xf numFmtId="0" fontId="0" fillId="0" borderId="13" xfId="0" applyBorder="1"/>
    <xf numFmtId="164" fontId="21" fillId="0" borderId="15" xfId="0" applyNumberFormat="1" applyFont="1" applyBorder="1" applyProtection="1"/>
    <xf numFmtId="164" fontId="21" fillId="0" borderId="29" xfId="0" applyNumberFormat="1" applyFont="1" applyBorder="1" applyProtection="1"/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0" fontId="0" fillId="0" borderId="33" xfId="0" applyBorder="1"/>
    <xf numFmtId="164" fontId="5" fillId="0" borderId="1" xfId="0" applyNumberFormat="1" applyFont="1" applyBorder="1"/>
    <xf numFmtId="164" fontId="0" fillId="0" borderId="17" xfId="0" applyNumberFormat="1" applyBorder="1"/>
    <xf numFmtId="0" fontId="0" fillId="0" borderId="34" xfId="0" applyBorder="1"/>
    <xf numFmtId="0" fontId="0" fillId="0" borderId="2" xfId="0" applyBorder="1" applyAlignment="1">
      <alignment horizontal="right"/>
    </xf>
    <xf numFmtId="0" fontId="0" fillId="0" borderId="18" xfId="0" applyBorder="1"/>
    <xf numFmtId="0" fontId="0" fillId="0" borderId="21" xfId="0" applyBorder="1" applyAlignment="1">
      <alignment horizontal="right"/>
    </xf>
    <xf numFmtId="0" fontId="0" fillId="0" borderId="3" xfId="0" applyBorder="1"/>
    <xf numFmtId="0" fontId="25" fillId="0" borderId="25" xfId="0" applyFont="1" applyBorder="1"/>
    <xf numFmtId="1" fontId="6" fillId="0" borderId="0" xfId="0" applyNumberFormat="1" applyFont="1" applyBorder="1" applyProtection="1"/>
    <xf numFmtId="2" fontId="21" fillId="0" borderId="0" xfId="0" applyNumberFormat="1" applyFont="1" applyBorder="1" applyProtection="1"/>
    <xf numFmtId="164" fontId="21" fillId="0" borderId="0" xfId="0" applyNumberFormat="1" applyFont="1" applyFill="1" applyBorder="1" applyProtection="1"/>
    <xf numFmtId="164" fontId="21" fillId="0" borderId="0" xfId="0" applyNumberFormat="1" applyFont="1" applyBorder="1" applyProtection="1"/>
    <xf numFmtId="164" fontId="21" fillId="0" borderId="4" xfId="0" applyNumberFormat="1" applyFont="1" applyFill="1" applyBorder="1" applyProtection="1"/>
    <xf numFmtId="0" fontId="0" fillId="0" borderId="7" xfId="0" applyBorder="1" applyProtection="1"/>
    <xf numFmtId="0" fontId="0" fillId="0" borderId="13" xfId="0" applyBorder="1" applyProtection="1"/>
    <xf numFmtId="0" fontId="7" fillId="0" borderId="9" xfId="0" applyFont="1" applyBorder="1" applyAlignment="1" applyProtection="1">
      <alignment horizontal="center" vertical="center"/>
    </xf>
    <xf numFmtId="165" fontId="6" fillId="0" borderId="35" xfId="0" applyNumberFormat="1" applyFont="1" applyBorder="1" applyAlignment="1" applyProtection="1">
      <alignment horizontal="center" vertical="center"/>
    </xf>
    <xf numFmtId="165" fontId="6" fillId="0" borderId="24" xfId="0" applyNumberFormat="1" applyFont="1" applyBorder="1" applyProtection="1"/>
    <xf numFmtId="1" fontId="6" fillId="0" borderId="8" xfId="0" applyNumberFormat="1" applyFont="1" applyBorder="1" applyProtection="1"/>
    <xf numFmtId="1" fontId="6" fillId="0" borderId="23" xfId="0" applyNumberFormat="1" applyFont="1" applyBorder="1" applyProtection="1"/>
    <xf numFmtId="2" fontId="21" fillId="0" borderId="16" xfId="0" applyNumberFormat="1" applyFont="1" applyBorder="1" applyProtection="1"/>
    <xf numFmtId="164" fontId="21" fillId="0" borderId="28" xfId="0" applyNumberFormat="1" applyFont="1" applyFill="1" applyBorder="1" applyProtection="1"/>
    <xf numFmtId="2" fontId="5" fillId="0" borderId="36" xfId="0" applyNumberFormat="1" applyFont="1" applyBorder="1" applyAlignment="1">
      <alignment horizontal="right"/>
    </xf>
    <xf numFmtId="2" fontId="5" fillId="0" borderId="34" xfId="0" applyNumberFormat="1" applyFont="1" applyBorder="1" applyAlignment="1">
      <alignment horizontal="center"/>
    </xf>
    <xf numFmtId="2" fontId="0" fillId="0" borderId="0" xfId="0" applyNumberFormat="1" applyFill="1" applyAlignment="1">
      <alignment horizontal="right"/>
    </xf>
    <xf numFmtId="2" fontId="13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13" fillId="0" borderId="1" xfId="0" applyNumberFormat="1" applyFont="1" applyFill="1" applyBorder="1" applyAlignment="1">
      <alignment horizontal="right"/>
    </xf>
    <xf numFmtId="2" fontId="13" fillId="0" borderId="1" xfId="0" applyNumberFormat="1" applyFont="1" applyBorder="1" applyAlignment="1">
      <alignment horizontal="right"/>
    </xf>
    <xf numFmtId="2" fontId="13" fillId="0" borderId="1" xfId="0" applyNumberFormat="1" applyFont="1" applyBorder="1"/>
    <xf numFmtId="2" fontId="13" fillId="0" borderId="36" xfId="0" applyNumberFormat="1" applyFont="1" applyFill="1" applyBorder="1" applyAlignment="1">
      <alignment horizontal="right"/>
    </xf>
    <xf numFmtId="2" fontId="13" fillId="0" borderId="2" xfId="0" applyNumberFormat="1" applyFont="1" applyBorder="1"/>
    <xf numFmtId="2" fontId="13" fillId="0" borderId="18" xfId="0" applyNumberFormat="1" applyFont="1" applyBorder="1" applyAlignment="1">
      <alignment horizontal="right"/>
    </xf>
    <xf numFmtId="2" fontId="13" fillId="0" borderId="21" xfId="0" applyNumberFormat="1" applyFont="1" applyBorder="1"/>
    <xf numFmtId="2" fontId="13" fillId="0" borderId="18" xfId="0" applyNumberFormat="1" applyFont="1" applyBorder="1"/>
    <xf numFmtId="0" fontId="13" fillId="0" borderId="0" xfId="0" applyFont="1"/>
    <xf numFmtId="0" fontId="0" fillId="0" borderId="0" xfId="0" applyAlignment="1" applyProtection="1">
      <alignment vertical="center"/>
    </xf>
    <xf numFmtId="165" fontId="10" fillId="9" borderId="13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vertical="center"/>
    </xf>
    <xf numFmtId="165" fontId="0" fillId="0" borderId="0" xfId="0" applyNumberFormat="1" applyProtection="1"/>
    <xf numFmtId="165" fontId="0" fillId="0" borderId="0" xfId="0" applyNumberFormat="1" applyBorder="1" applyProtection="1"/>
    <xf numFmtId="2" fontId="23" fillId="0" borderId="1" xfId="0" applyNumberFormat="1" applyFont="1" applyBorder="1" applyAlignment="1">
      <alignment vertical="top"/>
    </xf>
    <xf numFmtId="2" fontId="23" fillId="0" borderId="18" xfId="0" applyNumberFormat="1" applyFont="1" applyBorder="1" applyAlignment="1">
      <alignment vertical="top"/>
    </xf>
    <xf numFmtId="2" fontId="23" fillId="0" borderId="16" xfId="0" applyNumberFormat="1" applyFont="1" applyBorder="1" applyAlignment="1">
      <alignment vertical="top"/>
    </xf>
    <xf numFmtId="0" fontId="11" fillId="10" borderId="13" xfId="0" applyFont="1" applyFill="1" applyBorder="1" applyAlignment="1" applyProtection="1">
      <alignment horizontal="center"/>
      <protection locked="0"/>
    </xf>
    <xf numFmtId="165" fontId="10" fillId="1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5" fillId="0" borderId="44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13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1" fontId="5" fillId="0" borderId="6" xfId="0" applyNumberFormat="1" applyFont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vertical="center"/>
    </xf>
    <xf numFmtId="1" fontId="5" fillId="0" borderId="6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1" fontId="1" fillId="0" borderId="4" xfId="0" applyNumberFormat="1" applyFont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1" fontId="0" fillId="0" borderId="5" xfId="0" applyNumberFormat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167" fontId="17" fillId="0" borderId="0" xfId="0" applyNumberFormat="1" applyFont="1" applyAlignment="1" applyProtection="1">
      <alignment horizontal="center" vertical="center"/>
    </xf>
    <xf numFmtId="164" fontId="17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1" fontId="17" fillId="0" borderId="0" xfId="0" applyNumberFormat="1" applyFont="1" applyAlignment="1" applyProtection="1">
      <alignment horizontal="center" vertical="center"/>
    </xf>
    <xf numFmtId="167" fontId="17" fillId="0" borderId="0" xfId="0" applyNumberFormat="1" applyFont="1" applyAlignment="1" applyProtection="1">
      <alignment vertical="center"/>
    </xf>
    <xf numFmtId="1" fontId="17" fillId="0" borderId="0" xfId="0" applyNumberFormat="1" applyFont="1" applyAlignment="1" applyProtection="1">
      <alignment vertical="center"/>
    </xf>
    <xf numFmtId="0" fontId="17" fillId="0" borderId="20" xfId="0" applyFont="1" applyBorder="1" applyAlignment="1" applyProtection="1">
      <alignment vertical="center"/>
    </xf>
    <xf numFmtId="0" fontId="17" fillId="0" borderId="17" xfId="0" applyFont="1" applyBorder="1" applyAlignment="1" applyProtection="1">
      <alignment vertical="center"/>
    </xf>
    <xf numFmtId="164" fontId="17" fillId="0" borderId="1" xfId="0" applyNumberFormat="1" applyFont="1" applyBorder="1" applyAlignment="1" applyProtection="1">
      <alignment vertical="center"/>
    </xf>
    <xf numFmtId="164" fontId="17" fillId="0" borderId="0" xfId="0" applyNumberFormat="1" applyFont="1" applyBorder="1" applyAlignment="1" applyProtection="1">
      <alignment vertical="center"/>
    </xf>
    <xf numFmtId="1" fontId="19" fillId="0" borderId="0" xfId="0" applyNumberFormat="1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1" fontId="17" fillId="0" borderId="2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64" fontId="0" fillId="0" borderId="18" xfId="0" applyNumberFormat="1" applyBorder="1" applyAlignment="1" applyProtection="1">
      <alignment vertical="center"/>
    </xf>
    <xf numFmtId="164" fontId="0" fillId="0" borderId="16" xfId="0" applyNumberFormat="1" applyBorder="1" applyAlignment="1" applyProtection="1">
      <alignment vertical="center"/>
    </xf>
    <xf numFmtId="168" fontId="17" fillId="0" borderId="16" xfId="0" applyNumberFormat="1" applyFont="1" applyBorder="1" applyAlignment="1" applyProtection="1">
      <alignment vertical="center"/>
    </xf>
    <xf numFmtId="168" fontId="17" fillId="0" borderId="21" xfId="0" applyNumberFormat="1" applyFont="1" applyBorder="1" applyAlignment="1" applyProtection="1">
      <alignment vertical="center"/>
    </xf>
    <xf numFmtId="167" fontId="27" fillId="0" borderId="0" xfId="0" applyNumberFormat="1" applyFont="1" applyBorder="1" applyAlignment="1" applyProtection="1">
      <alignment vertical="center"/>
    </xf>
    <xf numFmtId="167" fontId="27" fillId="0" borderId="2" xfId="0" applyNumberFormat="1" applyFont="1" applyBorder="1" applyAlignment="1" applyProtection="1">
      <alignment vertical="center"/>
    </xf>
    <xf numFmtId="165" fontId="28" fillId="0" borderId="0" xfId="0" applyNumberFormat="1" applyFont="1" applyProtection="1"/>
    <xf numFmtId="0" fontId="28" fillId="0" borderId="0" xfId="0" applyFont="1" applyProtection="1"/>
    <xf numFmtId="0" fontId="5" fillId="10" borderId="0" xfId="0" applyFont="1" applyFill="1" applyAlignment="1" applyProtection="1">
      <alignment horizontal="center" vertical="center"/>
      <protection locked="0"/>
    </xf>
    <xf numFmtId="164" fontId="13" fillId="10" borderId="17" xfId="0" applyNumberFormat="1" applyFont="1" applyFill="1" applyBorder="1" applyAlignment="1" applyProtection="1">
      <alignment horizontal="right"/>
      <protection locked="0"/>
    </xf>
    <xf numFmtId="164" fontId="13" fillId="10" borderId="2" xfId="0" applyNumberFormat="1" applyFont="1" applyFill="1" applyBorder="1" applyAlignment="1" applyProtection="1">
      <alignment horizontal="right"/>
      <protection locked="0"/>
    </xf>
    <xf numFmtId="164" fontId="13" fillId="10" borderId="21" xfId="0" applyNumberFormat="1" applyFont="1" applyFill="1" applyBorder="1" applyProtection="1"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11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13" fillId="11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1" fontId="29" fillId="0" borderId="0" xfId="0" applyNumberFormat="1" applyFont="1"/>
    <xf numFmtId="0" fontId="30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164" fontId="18" fillId="0" borderId="0" xfId="0" applyNumberFormat="1" applyFont="1" applyAlignment="1" applyProtection="1">
      <alignment horizontal="center" vertical="center"/>
    </xf>
    <xf numFmtId="164" fontId="17" fillId="0" borderId="0" xfId="0" applyNumberFormat="1" applyFont="1" applyAlignment="1" applyProtection="1">
      <alignment horizontal="center" vertical="center"/>
    </xf>
    <xf numFmtId="164" fontId="2" fillId="6" borderId="0" xfId="0" applyNumberFormat="1" applyFont="1" applyFill="1" applyBorder="1" applyAlignment="1" applyProtection="1">
      <alignment horizontal="center" vertical="center"/>
    </xf>
    <xf numFmtId="164" fontId="2" fillId="6" borderId="2" xfId="0" applyNumberFormat="1" applyFont="1" applyFill="1" applyBorder="1" applyAlignment="1" applyProtection="1">
      <alignment horizontal="center" vertical="center"/>
    </xf>
    <xf numFmtId="164" fontId="2" fillId="7" borderId="0" xfId="0" applyNumberFormat="1" applyFont="1" applyFill="1" applyBorder="1" applyAlignment="1" applyProtection="1">
      <alignment horizontal="center" vertical="center"/>
    </xf>
    <xf numFmtId="164" fontId="2" fillId="7" borderId="2" xfId="0" applyNumberFormat="1" applyFont="1" applyFill="1" applyBorder="1" applyAlignment="1" applyProtection="1">
      <alignment horizontal="center" vertical="center"/>
    </xf>
    <xf numFmtId="164" fontId="2" fillId="4" borderId="19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164" fontId="18" fillId="0" borderId="14" xfId="0" applyNumberFormat="1" applyFont="1" applyBorder="1" applyAlignment="1" applyProtection="1">
      <alignment horizontal="center" vertical="center"/>
    </xf>
    <xf numFmtId="164" fontId="18" fillId="0" borderId="20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1" fontId="18" fillId="0" borderId="0" xfId="0" applyNumberFormat="1" applyFont="1" applyBorder="1" applyAlignment="1" applyProtection="1">
      <alignment horizontal="center" vertical="center"/>
    </xf>
    <xf numFmtId="1" fontId="17" fillId="0" borderId="0" xfId="0" applyNumberFormat="1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1" fillId="2" borderId="38" xfId="0" applyFont="1" applyFill="1" applyBorder="1" applyAlignment="1" applyProtection="1">
      <alignment horizontal="center"/>
      <protection locked="0"/>
    </xf>
    <xf numFmtId="0" fontId="11" fillId="2" borderId="39" xfId="0" applyFont="1" applyFill="1" applyBorder="1" applyAlignment="1" applyProtection="1">
      <alignment horizontal="center"/>
      <protection locked="0"/>
    </xf>
    <xf numFmtId="164" fontId="11" fillId="2" borderId="1" xfId="0" applyNumberFormat="1" applyFont="1" applyFill="1" applyBorder="1" applyAlignment="1" applyProtection="1">
      <alignment horizontal="center"/>
      <protection locked="0"/>
    </xf>
    <xf numFmtId="164" fontId="11" fillId="2" borderId="2" xfId="0" applyNumberFormat="1" applyFont="1" applyFill="1" applyBorder="1" applyAlignment="1" applyProtection="1">
      <alignment horizontal="center"/>
      <protection locked="0"/>
    </xf>
    <xf numFmtId="2" fontId="0" fillId="8" borderId="40" xfId="0" applyNumberFormat="1" applyFill="1" applyBorder="1" applyAlignment="1" applyProtection="1">
      <alignment horizontal="center"/>
    </xf>
    <xf numFmtId="2" fontId="0" fillId="8" borderId="41" xfId="0" applyNumberFormat="1" applyFill="1" applyBorder="1" applyAlignment="1" applyProtection="1">
      <alignment horizontal="center"/>
    </xf>
    <xf numFmtId="0" fontId="0" fillId="0" borderId="7" xfId="0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165" fontId="0" fillId="8" borderId="18" xfId="0" applyNumberFormat="1" applyFill="1" applyBorder="1" applyAlignment="1" applyProtection="1">
      <alignment horizontal="center"/>
    </xf>
    <xf numFmtId="165" fontId="0" fillId="8" borderId="21" xfId="0" applyNumberFormat="1" applyFill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 vertical="center"/>
    </xf>
    <xf numFmtId="165" fontId="4" fillId="0" borderId="20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11" fillId="10" borderId="38" xfId="0" applyFont="1" applyFill="1" applyBorder="1" applyAlignment="1" applyProtection="1">
      <alignment horizontal="center"/>
      <protection locked="0"/>
    </xf>
    <xf numFmtId="0" fontId="11" fillId="10" borderId="39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35"/>
  <sheetViews>
    <sheetView showGridLines="0" workbookViewId="0">
      <selection activeCell="A32" sqref="A32"/>
    </sheetView>
  </sheetViews>
  <sheetFormatPr baseColWidth="10" defaultColWidth="0" defaultRowHeight="15" customHeight="1"/>
  <cols>
    <col min="1" max="1" width="123.85546875" style="18" customWidth="1"/>
    <col min="2" max="16384" width="38.85546875" style="18" hidden="1"/>
  </cols>
  <sheetData>
    <row r="1" spans="1:1" ht="15" customHeight="1">
      <c r="A1" s="17" t="s">
        <v>21</v>
      </c>
    </row>
    <row r="2" spans="1:1" ht="15" customHeight="1">
      <c r="A2" s="138" t="s">
        <v>106</v>
      </c>
    </row>
    <row r="4" spans="1:1" s="19" customFormat="1" ht="15" customHeight="1">
      <c r="A4" s="19" t="s">
        <v>20</v>
      </c>
    </row>
    <row r="5" spans="1:1" ht="15" customHeight="1">
      <c r="A5" s="18" t="s">
        <v>41</v>
      </c>
    </row>
    <row r="7" spans="1:1" s="19" customFormat="1" ht="15" customHeight="1">
      <c r="A7" s="19" t="s">
        <v>22</v>
      </c>
    </row>
    <row r="8" spans="1:1" ht="15" customHeight="1">
      <c r="A8" s="20" t="s">
        <v>23</v>
      </c>
    </row>
    <row r="9" spans="1:1" ht="15" customHeight="1">
      <c r="A9" s="18" t="s">
        <v>24</v>
      </c>
    </row>
    <row r="10" spans="1:1" ht="15" customHeight="1">
      <c r="A10" s="137" t="s">
        <v>112</v>
      </c>
    </row>
    <row r="11" spans="1:1" ht="15" customHeight="1">
      <c r="A11" s="18" t="s">
        <v>25</v>
      </c>
    </row>
    <row r="12" spans="1:1" ht="15" customHeight="1">
      <c r="A12" s="20" t="s">
        <v>26</v>
      </c>
    </row>
    <row r="13" spans="1:1" ht="28.5" customHeight="1">
      <c r="A13" s="18" t="s">
        <v>27</v>
      </c>
    </row>
    <row r="15" spans="1:1" s="19" customFormat="1" ht="15" customHeight="1">
      <c r="A15" s="19" t="s">
        <v>28</v>
      </c>
    </row>
    <row r="16" spans="1:1" ht="29.25" customHeight="1">
      <c r="A16" s="18" t="s">
        <v>29</v>
      </c>
    </row>
    <row r="17" spans="1:1" ht="6" customHeight="1"/>
    <row r="18" spans="1:1" ht="15" customHeight="1">
      <c r="A18" s="18" t="s">
        <v>30</v>
      </c>
    </row>
    <row r="19" spans="1:1" ht="15" customHeight="1">
      <c r="A19" s="18" t="s">
        <v>31</v>
      </c>
    </row>
    <row r="20" spans="1:1" ht="15" customHeight="1">
      <c r="A20" s="21" t="s">
        <v>32</v>
      </c>
    </row>
    <row r="21" spans="1:1" ht="15" customHeight="1">
      <c r="A21" s="22" t="s">
        <v>33</v>
      </c>
    </row>
    <row r="22" spans="1:1" ht="15" customHeight="1">
      <c r="A22" s="22" t="s">
        <v>34</v>
      </c>
    </row>
    <row r="23" spans="1:1" ht="15" customHeight="1">
      <c r="A23" s="18" t="s">
        <v>35</v>
      </c>
    </row>
    <row r="24" spans="1:1" ht="15" customHeight="1">
      <c r="A24" s="18" t="s">
        <v>36</v>
      </c>
    </row>
    <row r="25" spans="1:1" ht="15" customHeight="1">
      <c r="A25" s="18" t="s">
        <v>37</v>
      </c>
    </row>
    <row r="26" spans="1:1" ht="15" customHeight="1">
      <c r="A26" s="22" t="s">
        <v>38</v>
      </c>
    </row>
    <row r="27" spans="1:1" ht="15" customHeight="1">
      <c r="A27" s="22" t="s">
        <v>39</v>
      </c>
    </row>
    <row r="28" spans="1:1" ht="15" customHeight="1">
      <c r="A28" s="18" t="s">
        <v>40</v>
      </c>
    </row>
    <row r="30" spans="1:1" ht="15" customHeight="1">
      <c r="A30" s="19" t="s">
        <v>107</v>
      </c>
    </row>
    <row r="31" spans="1:1" ht="15" customHeight="1">
      <c r="A31" s="137" t="s">
        <v>108</v>
      </c>
    </row>
    <row r="32" spans="1:1" ht="15" customHeight="1">
      <c r="A32" s="137" t="s">
        <v>109</v>
      </c>
    </row>
    <row r="34" spans="1:1" ht="15" customHeight="1">
      <c r="A34" s="19" t="s">
        <v>110</v>
      </c>
    </row>
    <row r="35" spans="1:1" ht="15" customHeight="1">
      <c r="A35" s="137" t="s">
        <v>111</v>
      </c>
    </row>
  </sheetData>
  <sheetProtection password="EBA3" sheet="1" objects="1" scenarios="1" selectLockedCells="1" selectUnlockedCell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T88"/>
  <sheetViews>
    <sheetView zoomScaleNormal="100" workbookViewId="0">
      <pane ySplit="3" topLeftCell="A7" activePane="bottomLeft" state="frozen"/>
      <selection sqref="A1:S1"/>
      <selection pane="bottomLeft"/>
    </sheetView>
  </sheetViews>
  <sheetFormatPr baseColWidth="10" defaultColWidth="0" defaultRowHeight="12.75" customHeight="1" zeroHeight="1"/>
  <cols>
    <col min="1" max="1" width="7.140625" style="172" customWidth="1"/>
    <col min="2" max="4" width="5.85546875" style="172" customWidth="1"/>
    <col min="5" max="19" width="5.85546875" style="145" customWidth="1"/>
    <col min="20" max="20" width="6.42578125" style="123" hidden="1" customWidth="1"/>
    <col min="21" max="16384" width="11.42578125" style="123" hidden="1"/>
  </cols>
  <sheetData>
    <row r="1" spans="1:20" ht="33" customHeight="1">
      <c r="A1" s="23">
        <v>0.5</v>
      </c>
      <c r="B1" s="201" t="s">
        <v>114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20" ht="17.25" customHeight="1">
      <c r="A2" s="139"/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0"/>
    </row>
    <row r="3" spans="1:20" s="133" customFormat="1" ht="12.75" customHeight="1">
      <c r="A3" s="140" t="s">
        <v>1</v>
      </c>
      <c r="B3" s="140">
        <v>300</v>
      </c>
      <c r="C3" s="140">
        <v>270</v>
      </c>
      <c r="D3" s="140">
        <v>230</v>
      </c>
      <c r="E3" s="141">
        <v>200</v>
      </c>
      <c r="F3" s="141">
        <v>160</v>
      </c>
      <c r="G3" s="141">
        <f>F3-10</f>
        <v>150</v>
      </c>
      <c r="H3" s="141">
        <f t="shared" ref="H3:S3" si="0">G3-10</f>
        <v>140</v>
      </c>
      <c r="I3" s="141">
        <f t="shared" si="0"/>
        <v>130</v>
      </c>
      <c r="J3" s="141">
        <f t="shared" si="0"/>
        <v>120</v>
      </c>
      <c r="K3" s="141">
        <f t="shared" si="0"/>
        <v>110</v>
      </c>
      <c r="L3" s="141">
        <f t="shared" si="0"/>
        <v>100</v>
      </c>
      <c r="M3" s="141">
        <f t="shared" si="0"/>
        <v>90</v>
      </c>
      <c r="N3" s="141">
        <f t="shared" si="0"/>
        <v>80</v>
      </c>
      <c r="O3" s="141">
        <f t="shared" si="0"/>
        <v>70</v>
      </c>
      <c r="P3" s="141">
        <f t="shared" si="0"/>
        <v>60</v>
      </c>
      <c r="Q3" s="141">
        <f t="shared" si="0"/>
        <v>50</v>
      </c>
      <c r="R3" s="141">
        <f t="shared" si="0"/>
        <v>40</v>
      </c>
      <c r="S3" s="141">
        <f t="shared" si="0"/>
        <v>30</v>
      </c>
    </row>
    <row r="4" spans="1:20" ht="12.75" customHeight="1">
      <c r="A4" s="140">
        <v>270</v>
      </c>
      <c r="B4" s="142">
        <f>IF(B$3&gt;$A4,(B$3/3.6-$A4/3.6)/$A$1,"")</f>
        <v>16.666666666666657</v>
      </c>
      <c r="C4" s="142" t="str">
        <f>IF(C$3&gt;$A4,(C$3/3.6-$A4/3.6)/$A$1,"")</f>
        <v/>
      </c>
      <c r="D4" s="142" t="str">
        <f>IF(D$3&gt;$A4,(D$3/3.6-$A4/3.6)/$A$1,"")</f>
        <v/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20" ht="12.75" customHeight="1">
      <c r="A5" s="140">
        <v>230</v>
      </c>
      <c r="B5" s="144"/>
      <c r="C5" s="142">
        <f>IF(C$3&gt;$A5,(C$3/3.6-$A5/3.6)/$A$1,"")</f>
        <v>22.222222222222229</v>
      </c>
      <c r="D5" s="140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</row>
    <row r="6" spans="1:20" ht="12.75" customHeight="1">
      <c r="A6" s="140">
        <v>200</v>
      </c>
      <c r="B6" s="144"/>
      <c r="C6" s="142"/>
      <c r="D6" s="142">
        <f>IF(D$3&gt;$A6,(D$3/3.6-$A6/3.6)/$A$1,"")</f>
        <v>16.666666666666657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</row>
    <row r="7" spans="1:20" ht="12.75" customHeight="1">
      <c r="A7" s="140">
        <v>160</v>
      </c>
      <c r="B7" s="142"/>
      <c r="C7" s="142"/>
      <c r="D7" s="142">
        <f>IF(D$3&gt;$A7,(D$3/3.6-$A7/3.6)/$A$1,"")</f>
        <v>38.888888888888886</v>
      </c>
      <c r="E7" s="142">
        <f t="shared" ref="E7:E21" si="1">IF(E$3&gt;$A7,(E$3/3.6-$A7/3.6)/$A$1,"")</f>
        <v>22.222222222222229</v>
      </c>
      <c r="F7" s="142" t="str">
        <f t="shared" ref="F7:S21" si="2">IF(F$3&gt;$A7,(F$3/3.6-$A7/3.6)/$A$1,"")</f>
        <v/>
      </c>
      <c r="G7" s="142" t="str">
        <f t="shared" si="2"/>
        <v/>
      </c>
      <c r="H7" s="142" t="str">
        <f t="shared" si="2"/>
        <v/>
      </c>
      <c r="I7" s="142" t="str">
        <f t="shared" si="2"/>
        <v/>
      </c>
      <c r="J7" s="142" t="str">
        <f t="shared" si="2"/>
        <v/>
      </c>
      <c r="K7" s="142" t="str">
        <f t="shared" si="2"/>
        <v/>
      </c>
      <c r="L7" s="142" t="str">
        <f t="shared" si="2"/>
        <v/>
      </c>
      <c r="M7" s="142" t="str">
        <f t="shared" si="2"/>
        <v/>
      </c>
      <c r="N7" s="142" t="str">
        <f t="shared" si="2"/>
        <v/>
      </c>
      <c r="O7" s="142" t="str">
        <f t="shared" si="2"/>
        <v/>
      </c>
      <c r="P7" s="142" t="str">
        <f t="shared" si="2"/>
        <v/>
      </c>
      <c r="Q7" s="142" t="str">
        <f t="shared" si="2"/>
        <v/>
      </c>
      <c r="R7" s="142" t="str">
        <f t="shared" si="2"/>
        <v/>
      </c>
      <c r="S7" s="142" t="str">
        <f t="shared" si="2"/>
        <v/>
      </c>
      <c r="T7" s="145"/>
    </row>
    <row r="8" spans="1:20" ht="12.75" customHeight="1">
      <c r="A8" s="140">
        <f>A7-10</f>
        <v>150</v>
      </c>
      <c r="B8" s="140"/>
      <c r="C8" s="140"/>
      <c r="D8" s="140"/>
      <c r="E8" s="142">
        <f t="shared" si="1"/>
        <v>27.777777777777786</v>
      </c>
      <c r="F8" s="142">
        <f t="shared" si="2"/>
        <v>5.5555555555555571</v>
      </c>
      <c r="G8" s="142" t="str">
        <f t="shared" si="2"/>
        <v/>
      </c>
      <c r="H8" s="142" t="str">
        <f t="shared" si="2"/>
        <v/>
      </c>
      <c r="I8" s="142" t="str">
        <f t="shared" si="2"/>
        <v/>
      </c>
      <c r="J8" s="142" t="str">
        <f t="shared" si="2"/>
        <v/>
      </c>
      <c r="K8" s="142" t="str">
        <f t="shared" si="2"/>
        <v/>
      </c>
      <c r="L8" s="142" t="str">
        <f t="shared" si="2"/>
        <v/>
      </c>
      <c r="M8" s="142" t="str">
        <f t="shared" si="2"/>
        <v/>
      </c>
      <c r="N8" s="142" t="str">
        <f t="shared" si="2"/>
        <v/>
      </c>
      <c r="O8" s="142" t="str">
        <f t="shared" si="2"/>
        <v/>
      </c>
      <c r="P8" s="142" t="str">
        <f t="shared" si="2"/>
        <v/>
      </c>
      <c r="Q8" s="142" t="str">
        <f t="shared" si="2"/>
        <v/>
      </c>
      <c r="R8" s="142" t="str">
        <f t="shared" si="2"/>
        <v/>
      </c>
      <c r="S8" s="142" t="str">
        <f t="shared" si="2"/>
        <v/>
      </c>
    </row>
    <row r="9" spans="1:20" ht="12.75" customHeight="1">
      <c r="A9" s="140">
        <f t="shared" ref="A9:A41" si="3">A8-10</f>
        <v>140</v>
      </c>
      <c r="B9" s="140"/>
      <c r="C9" s="140"/>
      <c r="D9" s="140"/>
      <c r="E9" s="142">
        <f t="shared" si="1"/>
        <v>33.333333333333343</v>
      </c>
      <c r="F9" s="142">
        <f t="shared" si="2"/>
        <v>11.111111111111114</v>
      </c>
      <c r="G9" s="142">
        <f t="shared" si="2"/>
        <v>5.5555555555555571</v>
      </c>
      <c r="H9" s="142" t="str">
        <f t="shared" si="2"/>
        <v/>
      </c>
      <c r="I9" s="142" t="str">
        <f t="shared" si="2"/>
        <v/>
      </c>
      <c r="J9" s="142" t="str">
        <f t="shared" si="2"/>
        <v/>
      </c>
      <c r="K9" s="142" t="str">
        <f t="shared" si="2"/>
        <v/>
      </c>
      <c r="L9" s="142" t="str">
        <f t="shared" si="2"/>
        <v/>
      </c>
      <c r="M9" s="142" t="str">
        <f t="shared" si="2"/>
        <v/>
      </c>
      <c r="N9" s="142" t="str">
        <f t="shared" si="2"/>
        <v/>
      </c>
      <c r="O9" s="142" t="str">
        <f t="shared" si="2"/>
        <v/>
      </c>
      <c r="P9" s="142" t="str">
        <f t="shared" si="2"/>
        <v/>
      </c>
      <c r="Q9" s="142" t="str">
        <f t="shared" si="2"/>
        <v/>
      </c>
      <c r="R9" s="142" t="str">
        <f t="shared" si="2"/>
        <v/>
      </c>
      <c r="S9" s="142" t="str">
        <f t="shared" si="2"/>
        <v/>
      </c>
    </row>
    <row r="10" spans="1:20" ht="12.75" customHeight="1">
      <c r="A10" s="140">
        <f t="shared" si="3"/>
        <v>130</v>
      </c>
      <c r="B10" s="140"/>
      <c r="C10" s="140"/>
      <c r="D10" s="140"/>
      <c r="E10" s="142">
        <f t="shared" si="1"/>
        <v>38.8888888888889</v>
      </c>
      <c r="F10" s="142">
        <f t="shared" si="2"/>
        <v>16.666666666666671</v>
      </c>
      <c r="G10" s="142">
        <f t="shared" si="2"/>
        <v>11.111111111111114</v>
      </c>
      <c r="H10" s="142">
        <f t="shared" si="2"/>
        <v>5.5555555555555571</v>
      </c>
      <c r="I10" s="142" t="str">
        <f t="shared" si="2"/>
        <v/>
      </c>
      <c r="J10" s="142" t="str">
        <f t="shared" si="2"/>
        <v/>
      </c>
      <c r="K10" s="142" t="str">
        <f t="shared" si="2"/>
        <v/>
      </c>
      <c r="L10" s="142" t="str">
        <f t="shared" si="2"/>
        <v/>
      </c>
      <c r="M10" s="142" t="str">
        <f t="shared" si="2"/>
        <v/>
      </c>
      <c r="N10" s="142" t="str">
        <f t="shared" si="2"/>
        <v/>
      </c>
      <c r="O10" s="142" t="str">
        <f t="shared" si="2"/>
        <v/>
      </c>
      <c r="P10" s="142" t="str">
        <f t="shared" si="2"/>
        <v/>
      </c>
      <c r="Q10" s="142" t="str">
        <f t="shared" si="2"/>
        <v/>
      </c>
      <c r="R10" s="142" t="str">
        <f t="shared" si="2"/>
        <v/>
      </c>
      <c r="S10" s="142" t="str">
        <f t="shared" si="2"/>
        <v/>
      </c>
      <c r="T10" s="145"/>
    </row>
    <row r="11" spans="1:20" ht="12.75" customHeight="1">
      <c r="A11" s="140">
        <f t="shared" si="3"/>
        <v>120</v>
      </c>
      <c r="B11" s="140"/>
      <c r="C11" s="140"/>
      <c r="D11" s="140"/>
      <c r="E11" s="142">
        <f t="shared" si="1"/>
        <v>44.444444444444443</v>
      </c>
      <c r="F11" s="142">
        <f t="shared" si="2"/>
        <v>22.222222222222214</v>
      </c>
      <c r="G11" s="142">
        <f t="shared" si="2"/>
        <v>16.666666666666657</v>
      </c>
      <c r="H11" s="142">
        <f t="shared" si="2"/>
        <v>11.1111111111111</v>
      </c>
      <c r="I11" s="142">
        <f t="shared" si="2"/>
        <v>5.5555555555555429</v>
      </c>
      <c r="J11" s="142" t="str">
        <f t="shared" si="2"/>
        <v/>
      </c>
      <c r="K11" s="142" t="str">
        <f t="shared" si="2"/>
        <v/>
      </c>
      <c r="L11" s="142" t="str">
        <f t="shared" si="2"/>
        <v/>
      </c>
      <c r="M11" s="142" t="str">
        <f t="shared" si="2"/>
        <v/>
      </c>
      <c r="N11" s="142" t="str">
        <f t="shared" si="2"/>
        <v/>
      </c>
      <c r="O11" s="142" t="str">
        <f t="shared" si="2"/>
        <v/>
      </c>
      <c r="P11" s="142" t="str">
        <f t="shared" si="2"/>
        <v/>
      </c>
      <c r="Q11" s="142" t="str">
        <f t="shared" si="2"/>
        <v/>
      </c>
      <c r="R11" s="142" t="str">
        <f t="shared" si="2"/>
        <v/>
      </c>
      <c r="S11" s="142" t="str">
        <f t="shared" si="2"/>
        <v/>
      </c>
      <c r="T11" s="145"/>
    </row>
    <row r="12" spans="1:20" ht="12.75" customHeight="1">
      <c r="A12" s="140">
        <f t="shared" si="3"/>
        <v>110</v>
      </c>
      <c r="B12" s="140"/>
      <c r="C12" s="140"/>
      <c r="D12" s="140"/>
      <c r="E12" s="142">
        <f t="shared" si="1"/>
        <v>50.000000000000007</v>
      </c>
      <c r="F12" s="142">
        <f t="shared" si="2"/>
        <v>27.777777777777779</v>
      </c>
      <c r="G12" s="142">
        <f t="shared" si="2"/>
        <v>22.222222222222221</v>
      </c>
      <c r="H12" s="142">
        <f t="shared" si="2"/>
        <v>16.666666666666664</v>
      </c>
      <c r="I12" s="142">
        <f t="shared" si="2"/>
        <v>11.111111111111107</v>
      </c>
      <c r="J12" s="142">
        <f t="shared" si="2"/>
        <v>5.5555555555555642</v>
      </c>
      <c r="K12" s="142" t="str">
        <f t="shared" si="2"/>
        <v/>
      </c>
      <c r="L12" s="142" t="str">
        <f t="shared" si="2"/>
        <v/>
      </c>
      <c r="M12" s="142" t="str">
        <f t="shared" si="2"/>
        <v/>
      </c>
      <c r="N12" s="142" t="str">
        <f t="shared" si="2"/>
        <v/>
      </c>
      <c r="O12" s="142" t="str">
        <f t="shared" si="2"/>
        <v/>
      </c>
      <c r="P12" s="142" t="str">
        <f t="shared" si="2"/>
        <v/>
      </c>
      <c r="Q12" s="142" t="str">
        <f t="shared" si="2"/>
        <v/>
      </c>
      <c r="R12" s="142" t="str">
        <f t="shared" si="2"/>
        <v/>
      </c>
      <c r="S12" s="142" t="str">
        <f t="shared" si="2"/>
        <v/>
      </c>
      <c r="T12" s="145"/>
    </row>
    <row r="13" spans="1:20" ht="12.75" customHeight="1">
      <c r="A13" s="140">
        <f t="shared" si="3"/>
        <v>100</v>
      </c>
      <c r="B13" s="140"/>
      <c r="C13" s="140"/>
      <c r="D13" s="140"/>
      <c r="E13" s="142">
        <f t="shared" si="1"/>
        <v>55.555555555555557</v>
      </c>
      <c r="F13" s="142">
        <f t="shared" si="2"/>
        <v>33.333333333333329</v>
      </c>
      <c r="G13" s="142">
        <f t="shared" si="2"/>
        <v>27.777777777777771</v>
      </c>
      <c r="H13" s="142">
        <f t="shared" si="2"/>
        <v>22.222222222222214</v>
      </c>
      <c r="I13" s="142">
        <f t="shared" si="2"/>
        <v>16.666666666666657</v>
      </c>
      <c r="J13" s="142">
        <f t="shared" si="2"/>
        <v>11.111111111111114</v>
      </c>
      <c r="K13" s="142">
        <f t="shared" si="2"/>
        <v>5.55555555555555</v>
      </c>
      <c r="L13" s="142" t="str">
        <f t="shared" si="2"/>
        <v/>
      </c>
      <c r="M13" s="142" t="str">
        <f t="shared" si="2"/>
        <v/>
      </c>
      <c r="N13" s="142" t="str">
        <f t="shared" si="2"/>
        <v/>
      </c>
      <c r="O13" s="142" t="str">
        <f t="shared" si="2"/>
        <v/>
      </c>
      <c r="P13" s="142" t="str">
        <f t="shared" si="2"/>
        <v/>
      </c>
      <c r="Q13" s="142" t="str">
        <f t="shared" si="2"/>
        <v/>
      </c>
      <c r="R13" s="142" t="str">
        <f t="shared" si="2"/>
        <v/>
      </c>
      <c r="S13" s="142" t="str">
        <f t="shared" si="2"/>
        <v/>
      </c>
      <c r="T13" s="145"/>
    </row>
    <row r="14" spans="1:20" ht="12.75" customHeight="1">
      <c r="A14" s="140">
        <f t="shared" si="3"/>
        <v>90</v>
      </c>
      <c r="B14" s="140"/>
      <c r="C14" s="140"/>
      <c r="D14" s="140"/>
      <c r="E14" s="142">
        <f t="shared" si="1"/>
        <v>61.111111111111114</v>
      </c>
      <c r="F14" s="142">
        <f t="shared" si="2"/>
        <v>38.888888888888886</v>
      </c>
      <c r="G14" s="142">
        <f t="shared" si="2"/>
        <v>33.333333333333329</v>
      </c>
      <c r="H14" s="142">
        <f t="shared" si="2"/>
        <v>27.777777777777771</v>
      </c>
      <c r="I14" s="142">
        <f t="shared" si="2"/>
        <v>22.222222222222214</v>
      </c>
      <c r="J14" s="142">
        <f t="shared" si="2"/>
        <v>16.666666666666671</v>
      </c>
      <c r="K14" s="142">
        <f t="shared" si="2"/>
        <v>11.111111111111107</v>
      </c>
      <c r="L14" s="142">
        <f t="shared" si="2"/>
        <v>5.5555555555555571</v>
      </c>
      <c r="M14" s="142" t="str">
        <f t="shared" si="2"/>
        <v/>
      </c>
      <c r="N14" s="142" t="str">
        <f t="shared" si="2"/>
        <v/>
      </c>
      <c r="O14" s="142" t="str">
        <f t="shared" si="2"/>
        <v/>
      </c>
      <c r="P14" s="142" t="str">
        <f t="shared" si="2"/>
        <v/>
      </c>
      <c r="Q14" s="142" t="str">
        <f t="shared" si="2"/>
        <v/>
      </c>
      <c r="R14" s="142" t="str">
        <f t="shared" si="2"/>
        <v/>
      </c>
      <c r="S14" s="142" t="str">
        <f t="shared" si="2"/>
        <v/>
      </c>
    </row>
    <row r="15" spans="1:20" ht="12.75" customHeight="1">
      <c r="A15" s="140">
        <f t="shared" si="3"/>
        <v>80</v>
      </c>
      <c r="B15" s="140"/>
      <c r="C15" s="140"/>
      <c r="D15" s="140"/>
      <c r="E15" s="142">
        <f t="shared" si="1"/>
        <v>66.666666666666671</v>
      </c>
      <c r="F15" s="142">
        <f t="shared" si="2"/>
        <v>44.444444444444443</v>
      </c>
      <c r="G15" s="142">
        <f t="shared" si="2"/>
        <v>38.888888888888886</v>
      </c>
      <c r="H15" s="142">
        <f t="shared" si="2"/>
        <v>33.333333333333329</v>
      </c>
      <c r="I15" s="142">
        <f t="shared" si="2"/>
        <v>27.777777777777771</v>
      </c>
      <c r="J15" s="142">
        <f t="shared" si="2"/>
        <v>22.222222222222229</v>
      </c>
      <c r="K15" s="142">
        <f t="shared" si="2"/>
        <v>16.666666666666664</v>
      </c>
      <c r="L15" s="142">
        <f t="shared" si="2"/>
        <v>11.111111111111114</v>
      </c>
      <c r="M15" s="142">
        <f t="shared" si="2"/>
        <v>5.5555555555555571</v>
      </c>
      <c r="N15" s="142" t="str">
        <f t="shared" si="2"/>
        <v/>
      </c>
      <c r="O15" s="142" t="str">
        <f t="shared" si="2"/>
        <v/>
      </c>
      <c r="P15" s="142" t="str">
        <f t="shared" si="2"/>
        <v/>
      </c>
      <c r="Q15" s="142" t="str">
        <f t="shared" si="2"/>
        <v/>
      </c>
      <c r="R15" s="142" t="str">
        <f t="shared" si="2"/>
        <v/>
      </c>
      <c r="S15" s="142" t="str">
        <f t="shared" si="2"/>
        <v/>
      </c>
    </row>
    <row r="16" spans="1:20" ht="12.75" customHeight="1">
      <c r="A16" s="140">
        <f t="shared" si="3"/>
        <v>70</v>
      </c>
      <c r="B16" s="140"/>
      <c r="C16" s="140"/>
      <c r="D16" s="140"/>
      <c r="E16" s="142">
        <f t="shared" si="1"/>
        <v>72.222222222222229</v>
      </c>
      <c r="F16" s="142">
        <f t="shared" si="2"/>
        <v>50</v>
      </c>
      <c r="G16" s="142">
        <f t="shared" si="2"/>
        <v>44.444444444444443</v>
      </c>
      <c r="H16" s="142">
        <f t="shared" si="2"/>
        <v>38.888888888888886</v>
      </c>
      <c r="I16" s="142">
        <f t="shared" si="2"/>
        <v>33.333333333333329</v>
      </c>
      <c r="J16" s="142">
        <f t="shared" si="2"/>
        <v>27.777777777777786</v>
      </c>
      <c r="K16" s="142">
        <f t="shared" si="2"/>
        <v>22.222222222222221</v>
      </c>
      <c r="L16" s="142">
        <f t="shared" si="2"/>
        <v>16.666666666666671</v>
      </c>
      <c r="M16" s="142">
        <f t="shared" si="2"/>
        <v>11.111111111111114</v>
      </c>
      <c r="N16" s="142">
        <f t="shared" si="2"/>
        <v>5.5555555555555571</v>
      </c>
      <c r="O16" s="142" t="str">
        <f t="shared" si="2"/>
        <v/>
      </c>
      <c r="P16" s="142" t="str">
        <f t="shared" si="2"/>
        <v/>
      </c>
      <c r="Q16" s="142" t="str">
        <f t="shared" si="2"/>
        <v/>
      </c>
      <c r="R16" s="142" t="str">
        <f t="shared" si="2"/>
        <v/>
      </c>
      <c r="S16" s="142" t="str">
        <f t="shared" si="2"/>
        <v/>
      </c>
      <c r="T16" s="145"/>
    </row>
    <row r="17" spans="1:19" ht="12.75" customHeight="1">
      <c r="A17" s="140">
        <f t="shared" si="3"/>
        <v>60</v>
      </c>
      <c r="B17" s="140"/>
      <c r="C17" s="140"/>
      <c r="D17" s="140"/>
      <c r="E17" s="142">
        <f t="shared" si="1"/>
        <v>77.777777777777771</v>
      </c>
      <c r="F17" s="142">
        <f t="shared" si="2"/>
        <v>55.55555555555555</v>
      </c>
      <c r="G17" s="142">
        <f t="shared" si="2"/>
        <v>49.999999999999993</v>
      </c>
      <c r="H17" s="142">
        <f t="shared" si="2"/>
        <v>44.444444444444436</v>
      </c>
      <c r="I17" s="142">
        <f t="shared" si="2"/>
        <v>38.888888888888879</v>
      </c>
      <c r="J17" s="142">
        <f t="shared" si="2"/>
        <v>33.333333333333336</v>
      </c>
      <c r="K17" s="142">
        <f t="shared" si="2"/>
        <v>27.777777777777771</v>
      </c>
      <c r="L17" s="142">
        <f t="shared" si="2"/>
        <v>22.222222222222221</v>
      </c>
      <c r="M17" s="142">
        <f t="shared" si="2"/>
        <v>16.666666666666664</v>
      </c>
      <c r="N17" s="142">
        <f t="shared" si="2"/>
        <v>11.111111111111107</v>
      </c>
      <c r="O17" s="142">
        <f t="shared" si="2"/>
        <v>5.55555555555555</v>
      </c>
      <c r="P17" s="142" t="str">
        <f t="shared" si="2"/>
        <v/>
      </c>
      <c r="Q17" s="142" t="str">
        <f t="shared" si="2"/>
        <v/>
      </c>
      <c r="R17" s="142" t="str">
        <f t="shared" si="2"/>
        <v/>
      </c>
      <c r="S17" s="142" t="str">
        <f t="shared" si="2"/>
        <v/>
      </c>
    </row>
    <row r="18" spans="1:19" ht="12.75" customHeight="1">
      <c r="A18" s="140">
        <f t="shared" si="3"/>
        <v>50</v>
      </c>
      <c r="B18" s="140"/>
      <c r="C18" s="140"/>
      <c r="D18" s="140"/>
      <c r="E18" s="142">
        <f t="shared" si="1"/>
        <v>83.333333333333343</v>
      </c>
      <c r="F18" s="142">
        <f t="shared" si="2"/>
        <v>61.111111111111107</v>
      </c>
      <c r="G18" s="142">
        <f t="shared" si="2"/>
        <v>55.55555555555555</v>
      </c>
      <c r="H18" s="142">
        <f t="shared" si="2"/>
        <v>49.999999999999993</v>
      </c>
      <c r="I18" s="142">
        <f t="shared" si="2"/>
        <v>44.444444444444436</v>
      </c>
      <c r="J18" s="142">
        <f t="shared" si="2"/>
        <v>38.888888888888893</v>
      </c>
      <c r="K18" s="142">
        <f t="shared" si="2"/>
        <v>33.333333333333329</v>
      </c>
      <c r="L18" s="142">
        <f t="shared" si="2"/>
        <v>27.777777777777779</v>
      </c>
      <c r="M18" s="142">
        <f t="shared" si="2"/>
        <v>22.222222222222221</v>
      </c>
      <c r="N18" s="142">
        <f t="shared" si="2"/>
        <v>16.666666666666664</v>
      </c>
      <c r="O18" s="142">
        <f t="shared" si="2"/>
        <v>11.111111111111107</v>
      </c>
      <c r="P18" s="142">
        <f t="shared" si="2"/>
        <v>5.5555555555555571</v>
      </c>
      <c r="Q18" s="142" t="str">
        <f t="shared" si="2"/>
        <v/>
      </c>
      <c r="R18" s="142" t="str">
        <f t="shared" si="2"/>
        <v/>
      </c>
      <c r="S18" s="142" t="str">
        <f t="shared" si="2"/>
        <v/>
      </c>
    </row>
    <row r="19" spans="1:19" ht="12.75" customHeight="1">
      <c r="A19" s="140">
        <f t="shared" si="3"/>
        <v>40</v>
      </c>
      <c r="B19" s="140"/>
      <c r="C19" s="140"/>
      <c r="D19" s="140"/>
      <c r="E19" s="142">
        <f t="shared" si="1"/>
        <v>88.888888888888886</v>
      </c>
      <c r="F19" s="142">
        <f t="shared" si="2"/>
        <v>66.666666666666657</v>
      </c>
      <c r="G19" s="142">
        <f t="shared" si="2"/>
        <v>61.111111111111107</v>
      </c>
      <c r="H19" s="142">
        <f t="shared" si="2"/>
        <v>55.55555555555555</v>
      </c>
      <c r="I19" s="142">
        <f t="shared" si="2"/>
        <v>49.999999999999993</v>
      </c>
      <c r="J19" s="142">
        <f t="shared" si="2"/>
        <v>44.44444444444445</v>
      </c>
      <c r="K19" s="142">
        <f t="shared" si="2"/>
        <v>38.888888888888886</v>
      </c>
      <c r="L19" s="142">
        <f t="shared" si="2"/>
        <v>33.333333333333336</v>
      </c>
      <c r="M19" s="142">
        <f t="shared" si="2"/>
        <v>27.777777777777779</v>
      </c>
      <c r="N19" s="142">
        <f t="shared" si="2"/>
        <v>22.222222222222221</v>
      </c>
      <c r="O19" s="142">
        <f t="shared" si="2"/>
        <v>16.666666666666664</v>
      </c>
      <c r="P19" s="142">
        <f t="shared" si="2"/>
        <v>11.111111111111114</v>
      </c>
      <c r="Q19" s="142">
        <f t="shared" si="2"/>
        <v>5.5555555555555571</v>
      </c>
      <c r="R19" s="142" t="str">
        <f t="shared" si="2"/>
        <v/>
      </c>
      <c r="S19" s="142" t="str">
        <f t="shared" si="2"/>
        <v/>
      </c>
    </row>
    <row r="20" spans="1:19" ht="12.75" customHeight="1">
      <c r="A20" s="140">
        <f t="shared" si="3"/>
        <v>30</v>
      </c>
      <c r="B20" s="140"/>
      <c r="C20" s="140"/>
      <c r="D20" s="140"/>
      <c r="E20" s="142">
        <f t="shared" si="1"/>
        <v>94.444444444444443</v>
      </c>
      <c r="F20" s="142">
        <f t="shared" si="2"/>
        <v>72.222222222222214</v>
      </c>
      <c r="G20" s="142">
        <f t="shared" si="2"/>
        <v>66.666666666666657</v>
      </c>
      <c r="H20" s="142">
        <f t="shared" si="2"/>
        <v>61.1111111111111</v>
      </c>
      <c r="I20" s="142">
        <f t="shared" si="2"/>
        <v>55.555555555555543</v>
      </c>
      <c r="J20" s="142">
        <f t="shared" si="2"/>
        <v>50</v>
      </c>
      <c r="K20" s="142">
        <f t="shared" si="2"/>
        <v>44.444444444444443</v>
      </c>
      <c r="L20" s="142">
        <f t="shared" si="2"/>
        <v>38.888888888888886</v>
      </c>
      <c r="M20" s="142">
        <f t="shared" si="2"/>
        <v>33.333333333333329</v>
      </c>
      <c r="N20" s="142">
        <f t="shared" si="2"/>
        <v>27.777777777777775</v>
      </c>
      <c r="O20" s="142">
        <f t="shared" si="2"/>
        <v>22.222222222222218</v>
      </c>
      <c r="P20" s="142">
        <f t="shared" si="2"/>
        <v>16.666666666666668</v>
      </c>
      <c r="Q20" s="142">
        <f t="shared" si="2"/>
        <v>11.111111111111111</v>
      </c>
      <c r="R20" s="142">
        <f t="shared" si="2"/>
        <v>5.5555555555555536</v>
      </c>
      <c r="S20" s="142" t="str">
        <f t="shared" si="2"/>
        <v/>
      </c>
    </row>
    <row r="21" spans="1:19" ht="12.75" customHeight="1">
      <c r="A21" s="140">
        <v>0</v>
      </c>
      <c r="B21" s="140"/>
      <c r="C21" s="140"/>
      <c r="D21" s="140"/>
      <c r="E21" s="142">
        <f t="shared" si="1"/>
        <v>111.11111111111111</v>
      </c>
      <c r="F21" s="142">
        <f t="shared" si="2"/>
        <v>88.888888888888886</v>
      </c>
      <c r="G21" s="142">
        <f t="shared" si="2"/>
        <v>83.333333333333329</v>
      </c>
      <c r="H21" s="142">
        <f t="shared" si="2"/>
        <v>77.777777777777771</v>
      </c>
      <c r="I21" s="142">
        <f t="shared" si="2"/>
        <v>72.222222222222214</v>
      </c>
      <c r="J21" s="142">
        <f t="shared" si="2"/>
        <v>66.666666666666671</v>
      </c>
      <c r="K21" s="142">
        <f t="shared" si="2"/>
        <v>61.111111111111107</v>
      </c>
      <c r="L21" s="142">
        <f t="shared" si="2"/>
        <v>55.555555555555557</v>
      </c>
      <c r="M21" s="142">
        <f t="shared" si="2"/>
        <v>50</v>
      </c>
      <c r="N21" s="142">
        <f t="shared" si="2"/>
        <v>44.444444444444443</v>
      </c>
      <c r="O21" s="142">
        <f t="shared" si="2"/>
        <v>38.888888888888886</v>
      </c>
      <c r="P21" s="142">
        <f t="shared" si="2"/>
        <v>33.333333333333336</v>
      </c>
      <c r="Q21" s="142">
        <f t="shared" si="2"/>
        <v>27.777777777777779</v>
      </c>
      <c r="R21" s="142">
        <f t="shared" si="2"/>
        <v>22.222222222222221</v>
      </c>
      <c r="S21" s="142">
        <f t="shared" si="2"/>
        <v>16.666666666666668</v>
      </c>
    </row>
    <row r="22" spans="1:19" ht="12.75" customHeight="1"/>
    <row r="23" spans="1:19" ht="19.5" customHeight="1">
      <c r="A23" s="16"/>
      <c r="B23" s="197" t="s">
        <v>18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8"/>
    </row>
    <row r="24" spans="1:19" s="148" customFormat="1" ht="12.75" customHeight="1">
      <c r="A24" s="146"/>
      <c r="B24" s="140">
        <v>300</v>
      </c>
      <c r="C24" s="140">
        <v>270</v>
      </c>
      <c r="D24" s="146">
        <v>230</v>
      </c>
      <c r="E24" s="147">
        <v>200</v>
      </c>
      <c r="F24" s="147">
        <v>160</v>
      </c>
      <c r="G24" s="147">
        <f>F24-10</f>
        <v>150</v>
      </c>
      <c r="H24" s="147">
        <f t="shared" ref="H24:S24" si="4">G24-10</f>
        <v>140</v>
      </c>
      <c r="I24" s="147">
        <f t="shared" si="4"/>
        <v>130</v>
      </c>
      <c r="J24" s="147">
        <f t="shared" si="4"/>
        <v>120</v>
      </c>
      <c r="K24" s="147">
        <f t="shared" si="4"/>
        <v>110</v>
      </c>
      <c r="L24" s="147">
        <f t="shared" si="4"/>
        <v>100</v>
      </c>
      <c r="M24" s="147">
        <f t="shared" si="4"/>
        <v>90</v>
      </c>
      <c r="N24" s="147">
        <f t="shared" si="4"/>
        <v>80</v>
      </c>
      <c r="O24" s="147">
        <f t="shared" si="4"/>
        <v>70</v>
      </c>
      <c r="P24" s="147">
        <f t="shared" si="4"/>
        <v>60</v>
      </c>
      <c r="Q24" s="147">
        <f t="shared" si="4"/>
        <v>50</v>
      </c>
      <c r="R24" s="147">
        <f t="shared" si="4"/>
        <v>40</v>
      </c>
      <c r="S24" s="147">
        <f t="shared" si="4"/>
        <v>30</v>
      </c>
    </row>
    <row r="25" spans="1:19" s="148" customFormat="1" ht="12.75" customHeight="1">
      <c r="A25" s="146">
        <v>270</v>
      </c>
      <c r="B25" s="149">
        <f>IF(B4&lt;&gt;"", 0.5*-$A$1*B4*B4 + B$24/3.6*B4,"")</f>
        <v>1319.4444444444437</v>
      </c>
      <c r="C25" s="150"/>
      <c r="D25" s="146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</row>
    <row r="26" spans="1:19" s="148" customFormat="1" ht="12.75" customHeight="1">
      <c r="A26" s="146">
        <v>230</v>
      </c>
      <c r="B26" s="150"/>
      <c r="C26" s="149">
        <f>IF(C5&lt;&gt;"", 0.5*-$A$1*C5*C5 + C$24/3.6*C5,"")</f>
        <v>1543.2098765432104</v>
      </c>
      <c r="D26" s="149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</row>
    <row r="27" spans="1:19" s="148" customFormat="1" ht="12.75" customHeight="1">
      <c r="A27" s="146">
        <v>200</v>
      </c>
      <c r="B27" s="150"/>
      <c r="C27" s="151"/>
      <c r="D27" s="149">
        <f>IF(D6&lt;&gt;"", 0.5*-$A$1*D6*D6 + D$24/3.6*D6,"")</f>
        <v>995.37037037036976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</row>
    <row r="28" spans="1:19" ht="12.75" customHeight="1">
      <c r="A28" s="150">
        <v>160</v>
      </c>
      <c r="B28" s="150"/>
      <c r="C28" s="150"/>
      <c r="D28" s="149">
        <f>IF(D7&lt;&gt;"", 0.5*-$A$1*D7*D7 + D$24/3.6*D7,"")</f>
        <v>2106.4814814814813</v>
      </c>
      <c r="E28" s="149">
        <f>IF(E7&lt;&gt;"", 0.5*-$A$1*E7*E7 + E$24/3.6*E7,"")</f>
        <v>1111.1111111111115</v>
      </c>
      <c r="F28" s="149" t="str">
        <f t="shared" ref="F28:S28" si="5">IF(F7&lt;&gt;"", 0.5*-$A$1*F7*F7 + F$24/3.6*F7,"")</f>
        <v/>
      </c>
      <c r="G28" s="149" t="str">
        <f t="shared" si="5"/>
        <v/>
      </c>
      <c r="H28" s="149" t="str">
        <f t="shared" si="5"/>
        <v/>
      </c>
      <c r="I28" s="149" t="str">
        <f t="shared" si="5"/>
        <v/>
      </c>
      <c r="J28" s="149" t="str">
        <f t="shared" si="5"/>
        <v/>
      </c>
      <c r="K28" s="149" t="str">
        <f t="shared" si="5"/>
        <v/>
      </c>
      <c r="L28" s="149" t="str">
        <f t="shared" si="5"/>
        <v/>
      </c>
      <c r="M28" s="149" t="str">
        <f t="shared" si="5"/>
        <v/>
      </c>
      <c r="N28" s="149" t="str">
        <f t="shared" si="5"/>
        <v/>
      </c>
      <c r="O28" s="149" t="str">
        <f t="shared" si="5"/>
        <v/>
      </c>
      <c r="P28" s="149" t="str">
        <f t="shared" si="5"/>
        <v/>
      </c>
      <c r="Q28" s="149" t="str">
        <f t="shared" si="5"/>
        <v/>
      </c>
      <c r="R28" s="149" t="str">
        <f t="shared" si="5"/>
        <v/>
      </c>
      <c r="S28" s="149" t="str">
        <f t="shared" si="5"/>
        <v/>
      </c>
    </row>
    <row r="29" spans="1:19" ht="12.75" customHeight="1">
      <c r="A29" s="140">
        <f>A28-10</f>
        <v>150</v>
      </c>
      <c r="B29" s="140"/>
      <c r="C29" s="140"/>
      <c r="D29" s="140"/>
      <c r="E29" s="149">
        <f>IF(E8&lt;&gt;"", 0.5*-$A$1*E8*E8 + E$24/3.6*E8,"")</f>
        <v>1350.308641975309</v>
      </c>
      <c r="F29" s="149">
        <f t="shared" ref="F29:S29" si="6">IF(F8&lt;&gt;"", 0.5*-$A$1*F8*F8 + F$24/3.6*F8,"")</f>
        <v>239.1975308641976</v>
      </c>
      <c r="G29" s="149" t="str">
        <f t="shared" si="6"/>
        <v/>
      </c>
      <c r="H29" s="149" t="str">
        <f t="shared" si="6"/>
        <v/>
      </c>
      <c r="I29" s="149" t="str">
        <f t="shared" si="6"/>
        <v/>
      </c>
      <c r="J29" s="149" t="str">
        <f t="shared" si="6"/>
        <v/>
      </c>
      <c r="K29" s="149" t="str">
        <f t="shared" si="6"/>
        <v/>
      </c>
      <c r="L29" s="149" t="str">
        <f t="shared" si="6"/>
        <v/>
      </c>
      <c r="M29" s="149" t="str">
        <f t="shared" si="6"/>
        <v/>
      </c>
      <c r="N29" s="149" t="str">
        <f t="shared" si="6"/>
        <v/>
      </c>
      <c r="O29" s="149" t="str">
        <f t="shared" si="6"/>
        <v/>
      </c>
      <c r="P29" s="149" t="str">
        <f t="shared" si="6"/>
        <v/>
      </c>
      <c r="Q29" s="149" t="str">
        <f t="shared" si="6"/>
        <v/>
      </c>
      <c r="R29" s="149" t="str">
        <f t="shared" si="6"/>
        <v/>
      </c>
      <c r="S29" s="149" t="str">
        <f t="shared" si="6"/>
        <v/>
      </c>
    </row>
    <row r="30" spans="1:19" ht="12.75" customHeight="1">
      <c r="A30" s="140">
        <f t="shared" si="3"/>
        <v>140</v>
      </c>
      <c r="B30" s="149" t="str">
        <f>IF(B9&lt;&gt;"", 0.5*-$A$1*B9*B9 + B$24/3.6*B9,"")</f>
        <v/>
      </c>
      <c r="C30" s="149" t="str">
        <f>IF(C9&lt;&gt;"", 0.5*-$A$1*C9*C9 + C$24/3.6*C9,"")</f>
        <v/>
      </c>
      <c r="D30" s="149" t="str">
        <f>IF(D9&lt;&gt;"", 0.5*-$A$1*D9*D9 + D$24/3.6*D9,"")</f>
        <v/>
      </c>
      <c r="E30" s="149">
        <f>IF(E9&lt;&gt;"", 0.5*-$A$1*E9*E9 + E$24/3.6*E9,"")</f>
        <v>1574.0740740740744</v>
      </c>
      <c r="F30" s="149">
        <f>IF(F9&lt;&gt;"", 0.5*-$A$1*F9*F9 + F$24/3.6*F9,"")</f>
        <v>462.9629629629631</v>
      </c>
      <c r="G30" s="149">
        <f>IF(G9&lt;&gt;"", 0.5*-$A$1*G9*G9 + G$24/3.6*G9,"")</f>
        <v>223.76543209876547</v>
      </c>
      <c r="H30" s="149"/>
      <c r="I30" s="149" t="str">
        <f t="shared" ref="I30:S30" si="7">IF(I9&lt;&gt;"", 0.5*-$A$1*I9*I9 + I$24/3.6*I9,"")</f>
        <v/>
      </c>
      <c r="J30" s="149" t="str">
        <f t="shared" si="7"/>
        <v/>
      </c>
      <c r="K30" s="149" t="str">
        <f t="shared" si="7"/>
        <v/>
      </c>
      <c r="L30" s="149" t="str">
        <f t="shared" si="7"/>
        <v/>
      </c>
      <c r="M30" s="149" t="str">
        <f t="shared" si="7"/>
        <v/>
      </c>
      <c r="N30" s="149" t="str">
        <f t="shared" si="7"/>
        <v/>
      </c>
      <c r="O30" s="149" t="str">
        <f t="shared" si="7"/>
        <v/>
      </c>
      <c r="P30" s="149" t="str">
        <f t="shared" si="7"/>
        <v/>
      </c>
      <c r="Q30" s="149" t="str">
        <f t="shared" si="7"/>
        <v/>
      </c>
      <c r="R30" s="149" t="str">
        <f t="shared" si="7"/>
        <v/>
      </c>
      <c r="S30" s="149" t="str">
        <f t="shared" si="7"/>
        <v/>
      </c>
    </row>
    <row r="31" spans="1:19" ht="12.75" customHeight="1">
      <c r="A31" s="140">
        <f t="shared" si="3"/>
        <v>130</v>
      </c>
      <c r="B31" s="140"/>
      <c r="C31" s="140"/>
      <c r="D31" s="140"/>
      <c r="E31" s="149">
        <f t="shared" ref="E31:S31" si="8">IF(E10&lt;&gt;"", 0.5*-$A$1*E10*E10 + E$24/3.6*E10,"")</f>
        <v>1782.4074074074081</v>
      </c>
      <c r="F31" s="149">
        <f t="shared" si="8"/>
        <v>671.29629629629642</v>
      </c>
      <c r="G31" s="149">
        <f t="shared" si="8"/>
        <v>432.09876543209884</v>
      </c>
      <c r="H31" s="149">
        <f t="shared" si="8"/>
        <v>208.33333333333337</v>
      </c>
      <c r="I31" s="149" t="str">
        <f t="shared" si="8"/>
        <v/>
      </c>
      <c r="J31" s="149" t="str">
        <f t="shared" si="8"/>
        <v/>
      </c>
      <c r="K31" s="149" t="str">
        <f t="shared" si="8"/>
        <v/>
      </c>
      <c r="L31" s="149" t="str">
        <f t="shared" si="8"/>
        <v/>
      </c>
      <c r="M31" s="149" t="str">
        <f t="shared" si="8"/>
        <v/>
      </c>
      <c r="N31" s="149" t="str">
        <f t="shared" si="8"/>
        <v/>
      </c>
      <c r="O31" s="149" t="str">
        <f t="shared" si="8"/>
        <v/>
      </c>
      <c r="P31" s="149" t="str">
        <f t="shared" si="8"/>
        <v/>
      </c>
      <c r="Q31" s="149" t="str">
        <f t="shared" si="8"/>
        <v/>
      </c>
      <c r="R31" s="149" t="str">
        <f t="shared" si="8"/>
        <v/>
      </c>
      <c r="S31" s="149" t="str">
        <f t="shared" si="8"/>
        <v/>
      </c>
    </row>
    <row r="32" spans="1:19" ht="12.75" customHeight="1">
      <c r="A32" s="140">
        <f t="shared" si="3"/>
        <v>120</v>
      </c>
      <c r="B32" s="140"/>
      <c r="C32" s="140"/>
      <c r="D32" s="140"/>
      <c r="E32" s="149">
        <f t="shared" ref="E32:S32" si="9">IF(E11&lt;&gt;"", 0.5*-$A$1*E11*E11 + E$24/3.6*E11,"")</f>
        <v>1975.3086419753085</v>
      </c>
      <c r="F32" s="149">
        <f t="shared" si="9"/>
        <v>864.19753086419723</v>
      </c>
      <c r="G32" s="149">
        <f t="shared" si="9"/>
        <v>624.99999999999966</v>
      </c>
      <c r="H32" s="149">
        <f t="shared" si="9"/>
        <v>401.23456790123413</v>
      </c>
      <c r="I32" s="149">
        <f t="shared" si="9"/>
        <v>192.90123456790079</v>
      </c>
      <c r="J32" s="149" t="str">
        <f t="shared" si="9"/>
        <v/>
      </c>
      <c r="K32" s="149" t="str">
        <f t="shared" si="9"/>
        <v/>
      </c>
      <c r="L32" s="149" t="str">
        <f t="shared" si="9"/>
        <v/>
      </c>
      <c r="M32" s="149" t="str">
        <f t="shared" si="9"/>
        <v/>
      </c>
      <c r="N32" s="149" t="str">
        <f t="shared" si="9"/>
        <v/>
      </c>
      <c r="O32" s="149" t="str">
        <f t="shared" si="9"/>
        <v/>
      </c>
      <c r="P32" s="149" t="str">
        <f t="shared" si="9"/>
        <v/>
      </c>
      <c r="Q32" s="149" t="str">
        <f t="shared" si="9"/>
        <v/>
      </c>
      <c r="R32" s="149" t="str">
        <f t="shared" si="9"/>
        <v/>
      </c>
      <c r="S32" s="149" t="str">
        <f t="shared" si="9"/>
        <v/>
      </c>
    </row>
    <row r="33" spans="1:20" ht="12.75" customHeight="1">
      <c r="A33" s="140">
        <f t="shared" si="3"/>
        <v>110</v>
      </c>
      <c r="B33" s="140"/>
      <c r="C33" s="140"/>
      <c r="D33" s="140"/>
      <c r="E33" s="149">
        <f t="shared" ref="E33:S33" si="10">IF(E12&lt;&gt;"", 0.5*-$A$1*E12*E12 + E$24/3.6*E12,"")</f>
        <v>2152.7777777777783</v>
      </c>
      <c r="F33" s="149">
        <f t="shared" si="10"/>
        <v>1041.6666666666667</v>
      </c>
      <c r="G33" s="149">
        <f t="shared" si="10"/>
        <v>802.46913580246905</v>
      </c>
      <c r="H33" s="149">
        <f t="shared" si="10"/>
        <v>578.70370370370358</v>
      </c>
      <c r="I33" s="149">
        <f t="shared" si="10"/>
        <v>370.37037037037021</v>
      </c>
      <c r="J33" s="149">
        <f t="shared" si="10"/>
        <v>177.4691358024694</v>
      </c>
      <c r="K33" s="149" t="str">
        <f t="shared" si="10"/>
        <v/>
      </c>
      <c r="L33" s="149" t="str">
        <f t="shared" si="10"/>
        <v/>
      </c>
      <c r="M33" s="149" t="str">
        <f t="shared" si="10"/>
        <v/>
      </c>
      <c r="N33" s="149" t="str">
        <f t="shared" si="10"/>
        <v/>
      </c>
      <c r="O33" s="149" t="str">
        <f t="shared" si="10"/>
        <v/>
      </c>
      <c r="P33" s="149" t="str">
        <f t="shared" si="10"/>
        <v/>
      </c>
      <c r="Q33" s="149" t="str">
        <f t="shared" si="10"/>
        <v/>
      </c>
      <c r="R33" s="149" t="str">
        <f t="shared" si="10"/>
        <v/>
      </c>
      <c r="S33" s="149" t="str">
        <f t="shared" si="10"/>
        <v/>
      </c>
    </row>
    <row r="34" spans="1:20" ht="12.75" customHeight="1">
      <c r="A34" s="140">
        <f t="shared" si="3"/>
        <v>100</v>
      </c>
      <c r="B34" s="140"/>
      <c r="C34" s="140"/>
      <c r="D34" s="140"/>
      <c r="E34" s="149">
        <f t="shared" ref="E34:S34" si="11">IF(E13&lt;&gt;"", 0.5*-$A$1*E13*E13 + E$24/3.6*E13,"")</f>
        <v>2314.8148148148148</v>
      </c>
      <c r="F34" s="149">
        <f t="shared" si="11"/>
        <v>1203.7037037037035</v>
      </c>
      <c r="G34" s="149">
        <f t="shared" si="11"/>
        <v>964.50617283950601</v>
      </c>
      <c r="H34" s="149">
        <f t="shared" si="11"/>
        <v>740.74074074074042</v>
      </c>
      <c r="I34" s="149">
        <f t="shared" si="11"/>
        <v>532.40740740740705</v>
      </c>
      <c r="J34" s="149">
        <f t="shared" si="11"/>
        <v>339.50617283950629</v>
      </c>
      <c r="K34" s="149">
        <f t="shared" si="11"/>
        <v>162.0370370370369</v>
      </c>
      <c r="L34" s="149" t="str">
        <f t="shared" si="11"/>
        <v/>
      </c>
      <c r="M34" s="149" t="str">
        <f t="shared" si="11"/>
        <v/>
      </c>
      <c r="N34" s="149" t="str">
        <f t="shared" si="11"/>
        <v/>
      </c>
      <c r="O34" s="149" t="str">
        <f t="shared" si="11"/>
        <v/>
      </c>
      <c r="P34" s="149" t="str">
        <f t="shared" si="11"/>
        <v/>
      </c>
      <c r="Q34" s="149" t="str">
        <f t="shared" si="11"/>
        <v/>
      </c>
      <c r="R34" s="149" t="str">
        <f t="shared" si="11"/>
        <v/>
      </c>
      <c r="S34" s="149" t="str">
        <f t="shared" si="11"/>
        <v/>
      </c>
      <c r="T34" s="152"/>
    </row>
    <row r="35" spans="1:20" ht="12.75" customHeight="1">
      <c r="A35" s="140">
        <f t="shared" si="3"/>
        <v>90</v>
      </c>
      <c r="B35" s="140"/>
      <c r="C35" s="140"/>
      <c r="D35" s="140"/>
      <c r="E35" s="149">
        <f t="shared" ref="E35:S35" si="12">IF(E14&lt;&gt;"", 0.5*-$A$1*E14*E14 + E$24/3.6*E14,"")</f>
        <v>2461.4197530864199</v>
      </c>
      <c r="F35" s="149">
        <f t="shared" si="12"/>
        <v>1350.3086419753085</v>
      </c>
      <c r="G35" s="149">
        <f t="shared" si="12"/>
        <v>1111.1111111111109</v>
      </c>
      <c r="H35" s="149">
        <f t="shared" si="12"/>
        <v>887.3456790123455</v>
      </c>
      <c r="I35" s="149">
        <f t="shared" si="12"/>
        <v>679.01234567901201</v>
      </c>
      <c r="J35" s="149">
        <f t="shared" si="12"/>
        <v>486.11111111111131</v>
      </c>
      <c r="K35" s="149">
        <f t="shared" si="12"/>
        <v>308.6419753086418</v>
      </c>
      <c r="L35" s="149">
        <f t="shared" si="12"/>
        <v>146.60493827160499</v>
      </c>
      <c r="M35" s="149" t="str">
        <f t="shared" si="12"/>
        <v/>
      </c>
      <c r="N35" s="149" t="str">
        <f t="shared" si="12"/>
        <v/>
      </c>
      <c r="O35" s="149" t="str">
        <f t="shared" si="12"/>
        <v/>
      </c>
      <c r="P35" s="149" t="str">
        <f t="shared" si="12"/>
        <v/>
      </c>
      <c r="Q35" s="149" t="str">
        <f t="shared" si="12"/>
        <v/>
      </c>
      <c r="R35" s="149" t="str">
        <f t="shared" si="12"/>
        <v/>
      </c>
      <c r="S35" s="149" t="str">
        <f t="shared" si="12"/>
        <v/>
      </c>
      <c r="T35" s="152"/>
    </row>
    <row r="36" spans="1:20" ht="12.75" customHeight="1">
      <c r="A36" s="140">
        <f t="shared" si="3"/>
        <v>80</v>
      </c>
      <c r="B36" s="140"/>
      <c r="C36" s="140"/>
      <c r="D36" s="140"/>
      <c r="E36" s="149">
        <f t="shared" ref="E36:S36" si="13">IF(E15&lt;&gt;"", 0.5*-$A$1*E15*E15 + E$24/3.6*E15,"")</f>
        <v>2592.5925925925926</v>
      </c>
      <c r="F36" s="149">
        <f t="shared" si="13"/>
        <v>1481.4814814814813</v>
      </c>
      <c r="G36" s="149">
        <f t="shared" si="13"/>
        <v>1242.2839506172838</v>
      </c>
      <c r="H36" s="149">
        <f t="shared" si="13"/>
        <v>1018.5185185185184</v>
      </c>
      <c r="I36" s="149">
        <f t="shared" si="13"/>
        <v>810.18518518518488</v>
      </c>
      <c r="J36" s="149">
        <f t="shared" si="13"/>
        <v>617.28395061728418</v>
      </c>
      <c r="K36" s="149">
        <f t="shared" si="13"/>
        <v>439.81481481481478</v>
      </c>
      <c r="L36" s="149">
        <f t="shared" si="13"/>
        <v>277.77777777777789</v>
      </c>
      <c r="M36" s="149">
        <f t="shared" si="13"/>
        <v>131.17283950617286</v>
      </c>
      <c r="N36" s="149" t="str">
        <f t="shared" si="13"/>
        <v/>
      </c>
      <c r="O36" s="149" t="str">
        <f t="shared" si="13"/>
        <v/>
      </c>
      <c r="P36" s="149" t="str">
        <f t="shared" si="13"/>
        <v/>
      </c>
      <c r="Q36" s="149" t="str">
        <f t="shared" si="13"/>
        <v/>
      </c>
      <c r="R36" s="149" t="str">
        <f t="shared" si="13"/>
        <v/>
      </c>
      <c r="S36" s="149" t="str">
        <f t="shared" si="13"/>
        <v/>
      </c>
    </row>
    <row r="37" spans="1:20" ht="12.75" customHeight="1">
      <c r="A37" s="140">
        <f t="shared" si="3"/>
        <v>70</v>
      </c>
      <c r="B37" s="140"/>
      <c r="C37" s="140"/>
      <c r="D37" s="140"/>
      <c r="E37" s="149">
        <f t="shared" ref="E37:S37" si="14">IF(E16&lt;&gt;"", 0.5*-$A$1*E16*E16 + E$24/3.6*E16,"")</f>
        <v>2708.3333333333335</v>
      </c>
      <c r="F37" s="149">
        <f t="shared" si="14"/>
        <v>1597.2222222222222</v>
      </c>
      <c r="G37" s="149">
        <f t="shared" si="14"/>
        <v>1358.0246913580245</v>
      </c>
      <c r="H37" s="149">
        <f t="shared" si="14"/>
        <v>1134.2592592592591</v>
      </c>
      <c r="I37" s="149">
        <f t="shared" si="14"/>
        <v>925.92592592592575</v>
      </c>
      <c r="J37" s="149">
        <f t="shared" si="14"/>
        <v>733.02469135802482</v>
      </c>
      <c r="K37" s="149">
        <f t="shared" si="14"/>
        <v>555.55555555555543</v>
      </c>
      <c r="L37" s="149">
        <f t="shared" si="14"/>
        <v>393.51851851851859</v>
      </c>
      <c r="M37" s="149">
        <f t="shared" si="14"/>
        <v>246.91358024691363</v>
      </c>
      <c r="N37" s="149">
        <f t="shared" si="14"/>
        <v>115.74074074074078</v>
      </c>
      <c r="O37" s="149" t="str">
        <f t="shared" si="14"/>
        <v/>
      </c>
      <c r="P37" s="149" t="str">
        <f t="shared" si="14"/>
        <v/>
      </c>
      <c r="Q37" s="149" t="str">
        <f t="shared" si="14"/>
        <v/>
      </c>
      <c r="R37" s="149" t="str">
        <f t="shared" si="14"/>
        <v/>
      </c>
      <c r="S37" s="149" t="str">
        <f t="shared" si="14"/>
        <v/>
      </c>
    </row>
    <row r="38" spans="1:20" ht="12.75" customHeight="1">
      <c r="A38" s="140">
        <f t="shared" si="3"/>
        <v>60</v>
      </c>
      <c r="B38" s="140"/>
      <c r="C38" s="140"/>
      <c r="D38" s="140"/>
      <c r="E38" s="149">
        <f t="shared" ref="E38:S38" si="15">IF(E17&lt;&gt;"", 0.5*-$A$1*E17*E17 + E$24/3.6*E17,"")</f>
        <v>2808.641975308642</v>
      </c>
      <c r="F38" s="149">
        <f t="shared" si="15"/>
        <v>1697.5308641975307</v>
      </c>
      <c r="G38" s="149">
        <f t="shared" si="15"/>
        <v>1458.3333333333333</v>
      </c>
      <c r="H38" s="149">
        <f t="shared" si="15"/>
        <v>1234.5679012345677</v>
      </c>
      <c r="I38" s="149">
        <f t="shared" si="15"/>
        <v>1026.2345679012344</v>
      </c>
      <c r="J38" s="149">
        <f t="shared" si="15"/>
        <v>833.33333333333348</v>
      </c>
      <c r="K38" s="149">
        <f t="shared" si="15"/>
        <v>655.86419753086398</v>
      </c>
      <c r="L38" s="149">
        <f t="shared" si="15"/>
        <v>493.82716049382714</v>
      </c>
      <c r="M38" s="149">
        <f t="shared" si="15"/>
        <v>347.22222222222217</v>
      </c>
      <c r="N38" s="149">
        <f t="shared" si="15"/>
        <v>216.04938271604931</v>
      </c>
      <c r="O38" s="149">
        <f t="shared" si="15"/>
        <v>100.30864197530853</v>
      </c>
      <c r="P38" s="149" t="str">
        <f t="shared" si="15"/>
        <v/>
      </c>
      <c r="Q38" s="149" t="str">
        <f t="shared" si="15"/>
        <v/>
      </c>
      <c r="R38" s="149" t="str">
        <f t="shared" si="15"/>
        <v/>
      </c>
      <c r="S38" s="149" t="str">
        <f t="shared" si="15"/>
        <v/>
      </c>
    </row>
    <row r="39" spans="1:20" ht="12.75" customHeight="1">
      <c r="A39" s="140">
        <f t="shared" si="3"/>
        <v>50</v>
      </c>
      <c r="B39" s="140"/>
      <c r="C39" s="140"/>
      <c r="D39" s="140"/>
      <c r="E39" s="149">
        <f t="shared" ref="E39:S39" si="16">IF(E18&lt;&gt;"", 0.5*-$A$1*E18*E18 + E$24/3.6*E18,"")</f>
        <v>2893.5185185185192</v>
      </c>
      <c r="F39" s="149">
        <f t="shared" si="16"/>
        <v>1782.4074074074072</v>
      </c>
      <c r="G39" s="149">
        <f t="shared" si="16"/>
        <v>1543.2098765432097</v>
      </c>
      <c r="H39" s="149">
        <f t="shared" si="16"/>
        <v>1319.4444444444443</v>
      </c>
      <c r="I39" s="149">
        <f t="shared" si="16"/>
        <v>1111.1111111111109</v>
      </c>
      <c r="J39" s="149">
        <f t="shared" si="16"/>
        <v>918.20987654321004</v>
      </c>
      <c r="K39" s="149">
        <f t="shared" si="16"/>
        <v>740.74074074074065</v>
      </c>
      <c r="L39" s="149">
        <f t="shared" si="16"/>
        <v>578.7037037037037</v>
      </c>
      <c r="M39" s="149">
        <f t="shared" si="16"/>
        <v>432.09876543209873</v>
      </c>
      <c r="N39" s="149">
        <f t="shared" si="16"/>
        <v>300.92592592592587</v>
      </c>
      <c r="O39" s="149">
        <f t="shared" si="16"/>
        <v>185.18518518518511</v>
      </c>
      <c r="P39" s="149">
        <f t="shared" si="16"/>
        <v>84.876543209876573</v>
      </c>
      <c r="Q39" s="149" t="str">
        <f t="shared" si="16"/>
        <v/>
      </c>
      <c r="R39" s="149" t="str">
        <f t="shared" si="16"/>
        <v/>
      </c>
      <c r="S39" s="149" t="str">
        <f t="shared" si="16"/>
        <v/>
      </c>
    </row>
    <row r="40" spans="1:20" ht="12.75" customHeight="1">
      <c r="A40" s="140">
        <f t="shared" si="3"/>
        <v>40</v>
      </c>
      <c r="B40" s="140"/>
      <c r="C40" s="140"/>
      <c r="D40" s="140"/>
      <c r="E40" s="149">
        <f t="shared" ref="E40:S40" si="17">IF(E19&lt;&gt;"", 0.5*-$A$1*E19*E19 + E$24/3.6*E19,"")</f>
        <v>2962.962962962963</v>
      </c>
      <c r="F40" s="149">
        <f t="shared" si="17"/>
        <v>1851.8518518518517</v>
      </c>
      <c r="G40" s="149">
        <f t="shared" si="17"/>
        <v>1612.6543209876543</v>
      </c>
      <c r="H40" s="149">
        <f t="shared" si="17"/>
        <v>1388.8888888888887</v>
      </c>
      <c r="I40" s="149">
        <f t="shared" si="17"/>
        <v>1180.5555555555554</v>
      </c>
      <c r="J40" s="149">
        <f t="shared" si="17"/>
        <v>987.6543209876545</v>
      </c>
      <c r="K40" s="149">
        <f t="shared" si="17"/>
        <v>810.18518518518499</v>
      </c>
      <c r="L40" s="149">
        <f t="shared" si="17"/>
        <v>648.14814814814815</v>
      </c>
      <c r="M40" s="149">
        <f t="shared" si="17"/>
        <v>501.54320987654319</v>
      </c>
      <c r="N40" s="149">
        <f t="shared" si="17"/>
        <v>370.37037037037032</v>
      </c>
      <c r="O40" s="149">
        <f t="shared" si="17"/>
        <v>254.62962962962959</v>
      </c>
      <c r="P40" s="149">
        <f t="shared" si="17"/>
        <v>154.32098765432104</v>
      </c>
      <c r="Q40" s="149">
        <f t="shared" si="17"/>
        <v>69.444444444444471</v>
      </c>
      <c r="R40" s="149" t="str">
        <f t="shared" si="17"/>
        <v/>
      </c>
      <c r="S40" s="149" t="str">
        <f t="shared" si="17"/>
        <v/>
      </c>
    </row>
    <row r="41" spans="1:20" ht="12.75" customHeight="1">
      <c r="A41" s="140">
        <f t="shared" si="3"/>
        <v>30</v>
      </c>
      <c r="B41" s="140"/>
      <c r="C41" s="140"/>
      <c r="D41" s="140"/>
      <c r="E41" s="149">
        <f t="shared" ref="E41:S41" si="18">IF(E20&lt;&gt;"", 0.5*-$A$1*E20*E20 + E$24/3.6*E20,"")</f>
        <v>3016.9753086419755</v>
      </c>
      <c r="F41" s="149">
        <f t="shared" si="18"/>
        <v>1905.8641975308642</v>
      </c>
      <c r="G41" s="149">
        <f t="shared" si="18"/>
        <v>1666.6666666666665</v>
      </c>
      <c r="H41" s="149">
        <f t="shared" si="18"/>
        <v>1442.9012345679012</v>
      </c>
      <c r="I41" s="149">
        <f t="shared" si="18"/>
        <v>1234.5679012345674</v>
      </c>
      <c r="J41" s="149">
        <f t="shared" si="18"/>
        <v>1041.6666666666667</v>
      </c>
      <c r="K41" s="149">
        <f t="shared" si="18"/>
        <v>864.19753086419735</v>
      </c>
      <c r="L41" s="149">
        <f t="shared" si="18"/>
        <v>702.16049382716051</v>
      </c>
      <c r="M41" s="149">
        <f t="shared" si="18"/>
        <v>555.55555555555554</v>
      </c>
      <c r="N41" s="149">
        <f t="shared" si="18"/>
        <v>424.38271604938268</v>
      </c>
      <c r="O41" s="149">
        <f t="shared" si="18"/>
        <v>308.64197530864192</v>
      </c>
      <c r="P41" s="149">
        <f t="shared" si="18"/>
        <v>208.33333333333337</v>
      </c>
      <c r="Q41" s="149">
        <f t="shared" si="18"/>
        <v>123.45679012345678</v>
      </c>
      <c r="R41" s="149">
        <f t="shared" si="18"/>
        <v>54.012345679012327</v>
      </c>
      <c r="S41" s="149" t="str">
        <f t="shared" si="18"/>
        <v/>
      </c>
    </row>
    <row r="42" spans="1:20" ht="12.75" customHeight="1">
      <c r="A42" s="140">
        <v>0</v>
      </c>
      <c r="B42" s="140"/>
      <c r="C42" s="140"/>
      <c r="D42" s="140"/>
      <c r="E42" s="149">
        <f t="shared" ref="E42:S42" si="19">IF(E21&lt;&gt;"", 0.5*-$A$1*E21*E21 + E$24/3.6*E21,"")</f>
        <v>3086.4197530864199</v>
      </c>
      <c r="F42" s="149">
        <f t="shared" si="19"/>
        <v>1975.3086419753085</v>
      </c>
      <c r="G42" s="149">
        <f t="shared" si="19"/>
        <v>1736.1111111111109</v>
      </c>
      <c r="H42" s="149">
        <f t="shared" si="19"/>
        <v>1512.3456790123455</v>
      </c>
      <c r="I42" s="149">
        <f t="shared" si="19"/>
        <v>1304.012345679012</v>
      </c>
      <c r="J42" s="149">
        <f t="shared" si="19"/>
        <v>1111.1111111111113</v>
      </c>
      <c r="K42" s="149">
        <f t="shared" si="19"/>
        <v>933.6419753086418</v>
      </c>
      <c r="L42" s="149">
        <f t="shared" si="19"/>
        <v>771.60493827160496</v>
      </c>
      <c r="M42" s="149">
        <f t="shared" si="19"/>
        <v>625</v>
      </c>
      <c r="N42" s="149">
        <f t="shared" si="19"/>
        <v>493.82716049382714</v>
      </c>
      <c r="O42" s="149">
        <f t="shared" si="19"/>
        <v>378.08641975308637</v>
      </c>
      <c r="P42" s="149">
        <f t="shared" si="19"/>
        <v>277.77777777777783</v>
      </c>
      <c r="Q42" s="149">
        <f t="shared" si="19"/>
        <v>192.90123456790124</v>
      </c>
      <c r="R42" s="149">
        <f t="shared" si="19"/>
        <v>123.45679012345678</v>
      </c>
      <c r="S42" s="149">
        <f t="shared" si="19"/>
        <v>69.444444444444457</v>
      </c>
    </row>
    <row r="43" spans="1:20" s="153" customFormat="1" ht="34.5" customHeight="1">
      <c r="A43" s="148"/>
      <c r="B43" s="148"/>
      <c r="C43" s="148"/>
      <c r="D43" s="148"/>
      <c r="E43" s="153">
        <f>E42/1.605</f>
        <v>1923.0029614245607</v>
      </c>
      <c r="F43" s="153">
        <f t="shared" ref="F43:S43" si="20">F42/1.605</f>
        <v>1230.7218953117188</v>
      </c>
      <c r="G43" s="153">
        <f t="shared" si="20"/>
        <v>1081.6891658013151</v>
      </c>
      <c r="H43" s="153">
        <f t="shared" si="20"/>
        <v>942.27145109803462</v>
      </c>
      <c r="I43" s="153">
        <f t="shared" si="20"/>
        <v>812.46875120187667</v>
      </c>
      <c r="J43" s="153">
        <f t="shared" si="20"/>
        <v>692.28106611284193</v>
      </c>
      <c r="K43" s="153">
        <f t="shared" si="20"/>
        <v>581.70839583092948</v>
      </c>
      <c r="L43" s="153">
        <f t="shared" si="20"/>
        <v>480.75074035614017</v>
      </c>
      <c r="M43" s="153">
        <f t="shared" si="20"/>
        <v>389.4080996884735</v>
      </c>
      <c r="N43" s="153">
        <f t="shared" si="20"/>
        <v>307.68047382792969</v>
      </c>
      <c r="O43" s="153">
        <f t="shared" si="20"/>
        <v>235.56786277450865</v>
      </c>
      <c r="P43" s="153">
        <f t="shared" si="20"/>
        <v>173.07026652821048</v>
      </c>
      <c r="Q43" s="153">
        <f t="shared" si="20"/>
        <v>120.18768508903504</v>
      </c>
      <c r="R43" s="153">
        <f t="shared" si="20"/>
        <v>76.920118456982422</v>
      </c>
      <c r="S43" s="153">
        <f t="shared" si="20"/>
        <v>43.26756663205262</v>
      </c>
    </row>
    <row r="44" spans="1:20" ht="17.25" customHeight="1">
      <c r="A44" s="139"/>
      <c r="B44" s="195" t="s">
        <v>19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6"/>
    </row>
    <row r="45" spans="1:20" ht="12.75" customHeight="1">
      <c r="A45" s="146"/>
      <c r="B45" s="146">
        <v>300</v>
      </c>
      <c r="C45" s="146">
        <v>270</v>
      </c>
      <c r="D45" s="146">
        <v>230</v>
      </c>
      <c r="E45" s="147">
        <v>200</v>
      </c>
      <c r="F45" s="147">
        <v>160</v>
      </c>
      <c r="G45" s="147">
        <f>F45-10</f>
        <v>150</v>
      </c>
      <c r="H45" s="147">
        <f t="shared" ref="H45:S45" si="21">G45-10</f>
        <v>140</v>
      </c>
      <c r="I45" s="147">
        <f t="shared" si="21"/>
        <v>130</v>
      </c>
      <c r="J45" s="147">
        <f t="shared" si="21"/>
        <v>120</v>
      </c>
      <c r="K45" s="147">
        <f t="shared" si="21"/>
        <v>110</v>
      </c>
      <c r="L45" s="147">
        <f t="shared" si="21"/>
        <v>100</v>
      </c>
      <c r="M45" s="147">
        <f t="shared" si="21"/>
        <v>90</v>
      </c>
      <c r="N45" s="147">
        <f t="shared" si="21"/>
        <v>80</v>
      </c>
      <c r="O45" s="147">
        <f t="shared" si="21"/>
        <v>70</v>
      </c>
      <c r="P45" s="147">
        <f t="shared" si="21"/>
        <v>60</v>
      </c>
      <c r="Q45" s="147">
        <f t="shared" si="21"/>
        <v>50</v>
      </c>
      <c r="R45" s="147">
        <f t="shared" si="21"/>
        <v>40</v>
      </c>
      <c r="S45" s="147">
        <f t="shared" si="21"/>
        <v>30</v>
      </c>
    </row>
    <row r="46" spans="1:20" ht="12.75" customHeight="1">
      <c r="A46" s="146">
        <v>270</v>
      </c>
      <c r="B46" s="149">
        <f>IF(B25&lt;&gt;"",B25*0.02,"")</f>
        <v>26.388888888888875</v>
      </c>
      <c r="C46" s="146"/>
      <c r="D46" s="146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</row>
    <row r="47" spans="1:20" ht="12.75" customHeight="1">
      <c r="A47" s="146">
        <v>230</v>
      </c>
      <c r="B47" s="146"/>
      <c r="C47" s="149">
        <f>IF(C26&lt;&gt;"",C26*0.02,"")</f>
        <v>30.864197530864207</v>
      </c>
      <c r="D47" s="14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</row>
    <row r="48" spans="1:20" ht="12.75" customHeight="1">
      <c r="A48" s="146">
        <v>200</v>
      </c>
      <c r="B48" s="146"/>
      <c r="C48" s="146"/>
      <c r="D48" s="149">
        <f>IF(D27&lt;&gt;"",D27*0.02,"")</f>
        <v>19.907407407407394</v>
      </c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</row>
    <row r="49" spans="1:20" ht="12.75" customHeight="1">
      <c r="A49" s="150">
        <v>160</v>
      </c>
      <c r="B49" s="150"/>
      <c r="C49" s="150"/>
      <c r="D49" s="149">
        <f>IF(D28&lt;&gt;"",D28*0.02,"")</f>
        <v>42.129629629629626</v>
      </c>
      <c r="E49" s="149">
        <f t="shared" ref="E49:E63" si="22">IF(E28&lt;&gt;"",E28*0.02,"")</f>
        <v>22.222222222222232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</row>
    <row r="50" spans="1:20" ht="12.75" customHeight="1">
      <c r="A50" s="140">
        <f>A49-10</f>
        <v>150</v>
      </c>
      <c r="B50" s="140"/>
      <c r="C50" s="140"/>
      <c r="D50" s="140"/>
      <c r="E50" s="149">
        <f t="shared" si="22"/>
        <v>27.006172839506181</v>
      </c>
      <c r="F50" s="149">
        <f t="shared" ref="F50:S50" si="23">IF(F29&lt;&gt;"",F29*0.02,"")</f>
        <v>4.7839506172839519</v>
      </c>
      <c r="G50" s="149" t="str">
        <f t="shared" si="23"/>
        <v/>
      </c>
      <c r="H50" s="149" t="str">
        <f t="shared" si="23"/>
        <v/>
      </c>
      <c r="I50" s="149" t="str">
        <f t="shared" si="23"/>
        <v/>
      </c>
      <c r="J50" s="149" t="str">
        <f t="shared" si="23"/>
        <v/>
      </c>
      <c r="K50" s="149" t="str">
        <f t="shared" si="23"/>
        <v/>
      </c>
      <c r="L50" s="149" t="str">
        <f t="shared" si="23"/>
        <v/>
      </c>
      <c r="M50" s="149" t="str">
        <f t="shared" si="23"/>
        <v/>
      </c>
      <c r="N50" s="149" t="str">
        <f t="shared" si="23"/>
        <v/>
      </c>
      <c r="O50" s="149" t="str">
        <f t="shared" si="23"/>
        <v/>
      </c>
      <c r="P50" s="149" t="str">
        <f t="shared" si="23"/>
        <v/>
      </c>
      <c r="Q50" s="149" t="str">
        <f t="shared" si="23"/>
        <v/>
      </c>
      <c r="R50" s="149" t="str">
        <f t="shared" si="23"/>
        <v/>
      </c>
      <c r="S50" s="149" t="str">
        <f t="shared" si="23"/>
        <v/>
      </c>
    </row>
    <row r="51" spans="1:20" ht="12.75" customHeight="1">
      <c r="A51" s="140">
        <f t="shared" ref="A51:A62" si="24">A50-10</f>
        <v>140</v>
      </c>
      <c r="B51" s="140"/>
      <c r="C51" s="140"/>
      <c r="D51" s="140"/>
      <c r="E51" s="149">
        <f t="shared" si="22"/>
        <v>31.481481481481488</v>
      </c>
      <c r="F51" s="149">
        <f t="shared" ref="F51:S51" si="25">IF(F30&lt;&gt;"",F30*0.02,"")</f>
        <v>9.2592592592592631</v>
      </c>
      <c r="G51" s="149">
        <f t="shared" si="25"/>
        <v>4.4753086419753094</v>
      </c>
      <c r="H51" s="149" t="str">
        <f t="shared" si="25"/>
        <v/>
      </c>
      <c r="I51" s="149" t="str">
        <f t="shared" si="25"/>
        <v/>
      </c>
      <c r="J51" s="149" t="str">
        <f t="shared" si="25"/>
        <v/>
      </c>
      <c r="K51" s="149" t="str">
        <f t="shared" si="25"/>
        <v/>
      </c>
      <c r="L51" s="149" t="str">
        <f t="shared" si="25"/>
        <v/>
      </c>
      <c r="M51" s="149" t="str">
        <f t="shared" si="25"/>
        <v/>
      </c>
      <c r="N51" s="149" t="str">
        <f t="shared" si="25"/>
        <v/>
      </c>
      <c r="O51" s="149" t="str">
        <f t="shared" si="25"/>
        <v/>
      </c>
      <c r="P51" s="149" t="str">
        <f t="shared" si="25"/>
        <v/>
      </c>
      <c r="Q51" s="149" t="str">
        <f t="shared" si="25"/>
        <v/>
      </c>
      <c r="R51" s="149" t="str">
        <f t="shared" si="25"/>
        <v/>
      </c>
      <c r="S51" s="149" t="str">
        <f t="shared" si="25"/>
        <v/>
      </c>
    </row>
    <row r="52" spans="1:20" ht="12.75" customHeight="1">
      <c r="A52" s="140">
        <f t="shared" si="24"/>
        <v>130</v>
      </c>
      <c r="B52" s="140"/>
      <c r="C52" s="140"/>
      <c r="D52" s="140"/>
      <c r="E52" s="149">
        <f t="shared" si="22"/>
        <v>35.648148148148159</v>
      </c>
      <c r="F52" s="149">
        <f t="shared" ref="F52:S52" si="26">IF(F31&lt;&gt;"",F31*0.02,"")</f>
        <v>13.425925925925929</v>
      </c>
      <c r="G52" s="149">
        <f t="shared" si="26"/>
        <v>8.6419753086419764</v>
      </c>
      <c r="H52" s="149">
        <f t="shared" si="26"/>
        <v>4.1666666666666679</v>
      </c>
      <c r="I52" s="149" t="str">
        <f t="shared" si="26"/>
        <v/>
      </c>
      <c r="J52" s="149" t="str">
        <f t="shared" si="26"/>
        <v/>
      </c>
      <c r="K52" s="149" t="str">
        <f t="shared" si="26"/>
        <v/>
      </c>
      <c r="L52" s="149" t="str">
        <f t="shared" si="26"/>
        <v/>
      </c>
      <c r="M52" s="149" t="str">
        <f t="shared" si="26"/>
        <v/>
      </c>
      <c r="N52" s="149" t="str">
        <f t="shared" si="26"/>
        <v/>
      </c>
      <c r="O52" s="149" t="str">
        <f t="shared" si="26"/>
        <v/>
      </c>
      <c r="P52" s="149" t="str">
        <f t="shared" si="26"/>
        <v/>
      </c>
      <c r="Q52" s="149" t="str">
        <f t="shared" si="26"/>
        <v/>
      </c>
      <c r="R52" s="149" t="str">
        <f t="shared" si="26"/>
        <v/>
      </c>
      <c r="S52" s="149" t="str">
        <f t="shared" si="26"/>
        <v/>
      </c>
    </row>
    <row r="53" spans="1:20" ht="12.75" customHeight="1">
      <c r="A53" s="140">
        <f t="shared" si="24"/>
        <v>120</v>
      </c>
      <c r="B53" s="140"/>
      <c r="C53" s="140"/>
      <c r="D53" s="140"/>
      <c r="E53" s="149">
        <f t="shared" si="22"/>
        <v>39.506172839506171</v>
      </c>
      <c r="F53" s="149">
        <f t="shared" ref="F53:S53" si="27">IF(F32&lt;&gt;"",F32*0.02,"")</f>
        <v>17.283950617283946</v>
      </c>
      <c r="G53" s="149">
        <f t="shared" si="27"/>
        <v>12.499999999999993</v>
      </c>
      <c r="H53" s="149">
        <f t="shared" si="27"/>
        <v>8.0246913580246826</v>
      </c>
      <c r="I53" s="149">
        <f t="shared" si="27"/>
        <v>3.8580246913580156</v>
      </c>
      <c r="J53" s="149" t="str">
        <f t="shared" si="27"/>
        <v/>
      </c>
      <c r="K53" s="149" t="str">
        <f t="shared" si="27"/>
        <v/>
      </c>
      <c r="L53" s="149" t="str">
        <f t="shared" si="27"/>
        <v/>
      </c>
      <c r="M53" s="149" t="str">
        <f t="shared" si="27"/>
        <v/>
      </c>
      <c r="N53" s="149" t="str">
        <f t="shared" si="27"/>
        <v/>
      </c>
      <c r="O53" s="149" t="str">
        <f t="shared" si="27"/>
        <v/>
      </c>
      <c r="P53" s="149" t="str">
        <f t="shared" si="27"/>
        <v/>
      </c>
      <c r="Q53" s="149" t="str">
        <f t="shared" si="27"/>
        <v/>
      </c>
      <c r="R53" s="149" t="str">
        <f t="shared" si="27"/>
        <v/>
      </c>
      <c r="S53" s="149" t="str">
        <f t="shared" si="27"/>
        <v/>
      </c>
    </row>
    <row r="54" spans="1:20" ht="12.75" customHeight="1">
      <c r="A54" s="140">
        <f t="shared" si="24"/>
        <v>110</v>
      </c>
      <c r="B54" s="140"/>
      <c r="C54" s="140"/>
      <c r="D54" s="140"/>
      <c r="E54" s="149">
        <f t="shared" si="22"/>
        <v>43.055555555555564</v>
      </c>
      <c r="F54" s="149">
        <f t="shared" ref="F54:S54" si="28">IF(F33&lt;&gt;"",F33*0.02,"")</f>
        <v>20.833333333333336</v>
      </c>
      <c r="G54" s="149">
        <f t="shared" si="28"/>
        <v>16.049382716049383</v>
      </c>
      <c r="H54" s="149">
        <f t="shared" si="28"/>
        <v>11.574074074074073</v>
      </c>
      <c r="I54" s="149">
        <f t="shared" si="28"/>
        <v>7.4074074074074048</v>
      </c>
      <c r="J54" s="149">
        <f t="shared" si="28"/>
        <v>3.5493827160493878</v>
      </c>
      <c r="K54" s="149" t="str">
        <f t="shared" si="28"/>
        <v/>
      </c>
      <c r="L54" s="149" t="str">
        <f t="shared" si="28"/>
        <v/>
      </c>
      <c r="M54" s="149" t="str">
        <f t="shared" si="28"/>
        <v/>
      </c>
      <c r="N54" s="149" t="str">
        <f t="shared" si="28"/>
        <v/>
      </c>
      <c r="O54" s="149" t="str">
        <f t="shared" si="28"/>
        <v/>
      </c>
      <c r="P54" s="149" t="str">
        <f t="shared" si="28"/>
        <v/>
      </c>
      <c r="Q54" s="149" t="str">
        <f t="shared" si="28"/>
        <v/>
      </c>
      <c r="R54" s="149" t="str">
        <f t="shared" si="28"/>
        <v/>
      </c>
      <c r="S54" s="149" t="str">
        <f t="shared" si="28"/>
        <v/>
      </c>
    </row>
    <row r="55" spans="1:20" ht="12.75" customHeight="1">
      <c r="A55" s="140">
        <f t="shared" si="24"/>
        <v>100</v>
      </c>
      <c r="B55" s="140"/>
      <c r="C55" s="140"/>
      <c r="D55" s="140"/>
      <c r="E55" s="149">
        <f t="shared" si="22"/>
        <v>46.296296296296298</v>
      </c>
      <c r="F55" s="149">
        <f t="shared" ref="F55:S55" si="29">IF(F34&lt;&gt;"",F34*0.02,"")</f>
        <v>24.074074074074069</v>
      </c>
      <c r="G55" s="149">
        <f t="shared" si="29"/>
        <v>19.29012345679012</v>
      </c>
      <c r="H55" s="149">
        <f t="shared" si="29"/>
        <v>14.81481481481481</v>
      </c>
      <c r="I55" s="149">
        <f t="shared" si="29"/>
        <v>10.648148148148142</v>
      </c>
      <c r="J55" s="149">
        <f t="shared" si="29"/>
        <v>6.7901234567901261</v>
      </c>
      <c r="K55" s="149">
        <f t="shared" si="29"/>
        <v>3.2407407407407378</v>
      </c>
      <c r="L55" s="149" t="str">
        <f t="shared" si="29"/>
        <v/>
      </c>
      <c r="M55" s="149" t="str">
        <f t="shared" si="29"/>
        <v/>
      </c>
      <c r="N55" s="149" t="str">
        <f t="shared" si="29"/>
        <v/>
      </c>
      <c r="O55" s="149" t="str">
        <f t="shared" si="29"/>
        <v/>
      </c>
      <c r="P55" s="149" t="str">
        <f t="shared" si="29"/>
        <v/>
      </c>
      <c r="Q55" s="149" t="str">
        <f t="shared" si="29"/>
        <v/>
      </c>
      <c r="R55" s="149" t="str">
        <f t="shared" si="29"/>
        <v/>
      </c>
      <c r="S55" s="149" t="str">
        <f t="shared" si="29"/>
        <v/>
      </c>
    </row>
    <row r="56" spans="1:20" ht="12.75" customHeight="1">
      <c r="A56" s="140">
        <f t="shared" si="24"/>
        <v>90</v>
      </c>
      <c r="B56" s="140"/>
      <c r="C56" s="140"/>
      <c r="D56" s="140"/>
      <c r="E56" s="149">
        <f t="shared" si="22"/>
        <v>49.228395061728399</v>
      </c>
      <c r="F56" s="149">
        <f t="shared" ref="F56:S56" si="30">IF(F35&lt;&gt;"",F35*0.02,"")</f>
        <v>27.006172839506171</v>
      </c>
      <c r="G56" s="149">
        <f t="shared" si="30"/>
        <v>22.222222222222218</v>
      </c>
      <c r="H56" s="149">
        <f t="shared" si="30"/>
        <v>17.746913580246911</v>
      </c>
      <c r="I56" s="149">
        <f t="shared" si="30"/>
        <v>13.58024691358024</v>
      </c>
      <c r="J56" s="149">
        <f t="shared" si="30"/>
        <v>9.7222222222222268</v>
      </c>
      <c r="K56" s="149">
        <f t="shared" si="30"/>
        <v>6.1728395061728358</v>
      </c>
      <c r="L56" s="149">
        <f t="shared" si="30"/>
        <v>2.9320987654320998</v>
      </c>
      <c r="M56" s="149" t="str">
        <f t="shared" si="30"/>
        <v/>
      </c>
      <c r="N56" s="149" t="str">
        <f t="shared" si="30"/>
        <v/>
      </c>
      <c r="O56" s="149" t="str">
        <f t="shared" si="30"/>
        <v/>
      </c>
      <c r="P56" s="149" t="str">
        <f t="shared" si="30"/>
        <v/>
      </c>
      <c r="Q56" s="149" t="str">
        <f t="shared" si="30"/>
        <v/>
      </c>
      <c r="R56" s="149" t="str">
        <f t="shared" si="30"/>
        <v/>
      </c>
      <c r="S56" s="149" t="str">
        <f t="shared" si="30"/>
        <v/>
      </c>
    </row>
    <row r="57" spans="1:20" ht="12.75" customHeight="1">
      <c r="A57" s="140">
        <f t="shared" si="24"/>
        <v>80</v>
      </c>
      <c r="B57" s="140"/>
      <c r="C57" s="140"/>
      <c r="D57" s="140"/>
      <c r="E57" s="149">
        <f t="shared" si="22"/>
        <v>51.851851851851855</v>
      </c>
      <c r="F57" s="149">
        <f t="shared" ref="F57:S57" si="31">IF(F36&lt;&gt;"",F36*0.02,"")</f>
        <v>29.629629629629626</v>
      </c>
      <c r="G57" s="149">
        <f t="shared" si="31"/>
        <v>24.845679012345677</v>
      </c>
      <c r="H57" s="149">
        <f t="shared" si="31"/>
        <v>20.370370370370367</v>
      </c>
      <c r="I57" s="149">
        <f t="shared" si="31"/>
        <v>16.203703703703699</v>
      </c>
      <c r="J57" s="149">
        <f t="shared" si="31"/>
        <v>12.345679012345684</v>
      </c>
      <c r="K57" s="149">
        <f t="shared" si="31"/>
        <v>8.7962962962962958</v>
      </c>
      <c r="L57" s="149">
        <f t="shared" si="31"/>
        <v>5.555555555555558</v>
      </c>
      <c r="M57" s="149">
        <f t="shared" si="31"/>
        <v>2.6234567901234573</v>
      </c>
      <c r="N57" s="149" t="str">
        <f t="shared" si="31"/>
        <v/>
      </c>
      <c r="O57" s="149" t="str">
        <f t="shared" si="31"/>
        <v/>
      </c>
      <c r="P57" s="149" t="str">
        <f t="shared" si="31"/>
        <v/>
      </c>
      <c r="Q57" s="149" t="str">
        <f t="shared" si="31"/>
        <v/>
      </c>
      <c r="R57" s="149" t="str">
        <f t="shared" si="31"/>
        <v/>
      </c>
      <c r="S57" s="149" t="str">
        <f t="shared" si="31"/>
        <v/>
      </c>
    </row>
    <row r="58" spans="1:20" ht="12.75" customHeight="1">
      <c r="A58" s="140">
        <f t="shared" si="24"/>
        <v>70</v>
      </c>
      <c r="B58" s="140"/>
      <c r="C58" s="140"/>
      <c r="D58" s="140"/>
      <c r="E58" s="149">
        <f t="shared" si="22"/>
        <v>54.166666666666671</v>
      </c>
      <c r="F58" s="149">
        <f t="shared" ref="F58:S58" si="32">IF(F37&lt;&gt;"",F37*0.02,"")</f>
        <v>31.944444444444443</v>
      </c>
      <c r="G58" s="149">
        <f t="shared" si="32"/>
        <v>27.16049382716049</v>
      </c>
      <c r="H58" s="149">
        <f t="shared" si="32"/>
        <v>22.685185185185183</v>
      </c>
      <c r="I58" s="149">
        <f t="shared" si="32"/>
        <v>18.518518518518515</v>
      </c>
      <c r="J58" s="149">
        <f t="shared" si="32"/>
        <v>14.660493827160497</v>
      </c>
      <c r="K58" s="149">
        <f t="shared" si="32"/>
        <v>11.111111111111109</v>
      </c>
      <c r="L58" s="149">
        <f t="shared" si="32"/>
        <v>7.870370370370372</v>
      </c>
      <c r="M58" s="149">
        <f t="shared" si="32"/>
        <v>4.9382716049382722</v>
      </c>
      <c r="N58" s="149">
        <f t="shared" si="32"/>
        <v>2.3148148148148158</v>
      </c>
      <c r="O58" s="149" t="str">
        <f t="shared" si="32"/>
        <v/>
      </c>
      <c r="P58" s="149" t="str">
        <f t="shared" si="32"/>
        <v/>
      </c>
      <c r="Q58" s="149" t="str">
        <f t="shared" si="32"/>
        <v/>
      </c>
      <c r="R58" s="149" t="str">
        <f t="shared" si="32"/>
        <v/>
      </c>
      <c r="S58" s="149" t="str">
        <f t="shared" si="32"/>
        <v/>
      </c>
    </row>
    <row r="59" spans="1:20" ht="12.75" customHeight="1">
      <c r="A59" s="140">
        <f t="shared" si="24"/>
        <v>60</v>
      </c>
      <c r="B59" s="140"/>
      <c r="C59" s="140"/>
      <c r="D59" s="140"/>
      <c r="E59" s="149">
        <f t="shared" si="22"/>
        <v>56.172839506172842</v>
      </c>
      <c r="F59" s="149">
        <f t="shared" ref="F59:S59" si="33">IF(F38&lt;&gt;"",F38*0.02,"")</f>
        <v>33.950617283950614</v>
      </c>
      <c r="G59" s="149">
        <f t="shared" si="33"/>
        <v>29.166666666666664</v>
      </c>
      <c r="H59" s="149">
        <f t="shared" si="33"/>
        <v>24.691358024691354</v>
      </c>
      <c r="I59" s="149">
        <f t="shared" si="33"/>
        <v>20.52469135802469</v>
      </c>
      <c r="J59" s="149">
        <f t="shared" si="33"/>
        <v>16.666666666666671</v>
      </c>
      <c r="K59" s="149">
        <f t="shared" si="33"/>
        <v>13.11728395061728</v>
      </c>
      <c r="L59" s="149">
        <f t="shared" si="33"/>
        <v>9.8765432098765427</v>
      </c>
      <c r="M59" s="149">
        <f t="shared" si="33"/>
        <v>6.9444444444444438</v>
      </c>
      <c r="N59" s="149">
        <f t="shared" si="33"/>
        <v>4.3209876543209864</v>
      </c>
      <c r="O59" s="149">
        <f t="shared" si="33"/>
        <v>2.0061728395061706</v>
      </c>
      <c r="P59" s="149" t="str">
        <f t="shared" si="33"/>
        <v/>
      </c>
      <c r="Q59" s="149" t="str">
        <f t="shared" si="33"/>
        <v/>
      </c>
      <c r="R59" s="149" t="str">
        <f t="shared" si="33"/>
        <v/>
      </c>
      <c r="S59" s="149" t="str">
        <f t="shared" si="33"/>
        <v/>
      </c>
    </row>
    <row r="60" spans="1:20" ht="12.75" customHeight="1">
      <c r="A60" s="140">
        <f t="shared" si="24"/>
        <v>50</v>
      </c>
      <c r="B60" s="140"/>
      <c r="C60" s="140"/>
      <c r="D60" s="140"/>
      <c r="E60" s="149">
        <f t="shared" si="22"/>
        <v>57.870370370370381</v>
      </c>
      <c r="F60" s="149">
        <f t="shared" ref="F60:S60" si="34">IF(F39&lt;&gt;"",F39*0.02,"")</f>
        <v>35.648148148148145</v>
      </c>
      <c r="G60" s="149">
        <f t="shared" si="34"/>
        <v>30.864197530864196</v>
      </c>
      <c r="H60" s="149">
        <f t="shared" si="34"/>
        <v>26.388888888888886</v>
      </c>
      <c r="I60" s="149">
        <f t="shared" si="34"/>
        <v>22.222222222222218</v>
      </c>
      <c r="J60" s="149">
        <f t="shared" si="34"/>
        <v>18.3641975308642</v>
      </c>
      <c r="K60" s="149">
        <f t="shared" si="34"/>
        <v>14.814814814814813</v>
      </c>
      <c r="L60" s="149">
        <f t="shared" si="34"/>
        <v>11.574074074074074</v>
      </c>
      <c r="M60" s="149">
        <f t="shared" si="34"/>
        <v>8.6419753086419746</v>
      </c>
      <c r="N60" s="149">
        <f t="shared" si="34"/>
        <v>6.0185185185185173</v>
      </c>
      <c r="O60" s="149">
        <f t="shared" si="34"/>
        <v>3.7037037037037024</v>
      </c>
      <c r="P60" s="149">
        <f t="shared" si="34"/>
        <v>1.6975308641975315</v>
      </c>
      <c r="Q60" s="149" t="str">
        <f t="shared" si="34"/>
        <v/>
      </c>
      <c r="R60" s="149" t="str">
        <f t="shared" si="34"/>
        <v/>
      </c>
      <c r="S60" s="149" t="str">
        <f t="shared" si="34"/>
        <v/>
      </c>
    </row>
    <row r="61" spans="1:20" ht="12.75" customHeight="1">
      <c r="A61" s="140">
        <f t="shared" si="24"/>
        <v>40</v>
      </c>
      <c r="B61" s="140"/>
      <c r="C61" s="140"/>
      <c r="D61" s="140"/>
      <c r="E61" s="149">
        <f t="shared" si="22"/>
        <v>59.25925925925926</v>
      </c>
      <c r="F61" s="149">
        <f t="shared" ref="F61:S61" si="35">IF(F40&lt;&gt;"",F40*0.02,"")</f>
        <v>37.037037037037038</v>
      </c>
      <c r="G61" s="149">
        <f t="shared" si="35"/>
        <v>32.253086419753089</v>
      </c>
      <c r="H61" s="149">
        <f t="shared" si="35"/>
        <v>27.777777777777775</v>
      </c>
      <c r="I61" s="149">
        <f t="shared" si="35"/>
        <v>23.611111111111111</v>
      </c>
      <c r="J61" s="149">
        <f t="shared" si="35"/>
        <v>19.753086419753089</v>
      </c>
      <c r="K61" s="149">
        <f t="shared" si="35"/>
        <v>16.203703703703699</v>
      </c>
      <c r="L61" s="149">
        <f t="shared" si="35"/>
        <v>12.962962962962964</v>
      </c>
      <c r="M61" s="149">
        <f t="shared" si="35"/>
        <v>10.030864197530864</v>
      </c>
      <c r="N61" s="149">
        <f t="shared" si="35"/>
        <v>7.4074074074074066</v>
      </c>
      <c r="O61" s="149">
        <f t="shared" si="35"/>
        <v>5.0925925925925917</v>
      </c>
      <c r="P61" s="149">
        <f t="shared" si="35"/>
        <v>3.086419753086421</v>
      </c>
      <c r="Q61" s="149">
        <f t="shared" si="35"/>
        <v>1.3888888888888895</v>
      </c>
      <c r="R61" s="149" t="str">
        <f t="shared" si="35"/>
        <v/>
      </c>
      <c r="S61" s="149" t="str">
        <f t="shared" si="35"/>
        <v/>
      </c>
    </row>
    <row r="62" spans="1:20" ht="12.75" customHeight="1">
      <c r="A62" s="140">
        <f t="shared" si="24"/>
        <v>30</v>
      </c>
      <c r="B62" s="140"/>
      <c r="C62" s="140"/>
      <c r="D62" s="140"/>
      <c r="E62" s="149">
        <f t="shared" si="22"/>
        <v>60.339506172839513</v>
      </c>
      <c r="F62" s="149">
        <f t="shared" ref="F62:S62" si="36">IF(F41&lt;&gt;"",F41*0.02,"")</f>
        <v>38.117283950617285</v>
      </c>
      <c r="G62" s="149">
        <f t="shared" si="36"/>
        <v>33.333333333333329</v>
      </c>
      <c r="H62" s="149">
        <f t="shared" si="36"/>
        <v>28.858024691358025</v>
      </c>
      <c r="I62" s="149">
        <f t="shared" si="36"/>
        <v>24.69135802469135</v>
      </c>
      <c r="J62" s="149">
        <f t="shared" si="36"/>
        <v>20.833333333333336</v>
      </c>
      <c r="K62" s="149">
        <f t="shared" si="36"/>
        <v>17.283950617283946</v>
      </c>
      <c r="L62" s="149">
        <f t="shared" si="36"/>
        <v>14.043209876543211</v>
      </c>
      <c r="M62" s="149">
        <f t="shared" si="36"/>
        <v>11.111111111111111</v>
      </c>
      <c r="N62" s="149">
        <f t="shared" si="36"/>
        <v>8.4876543209876534</v>
      </c>
      <c r="O62" s="149">
        <f t="shared" si="36"/>
        <v>6.1728395061728385</v>
      </c>
      <c r="P62" s="149">
        <f t="shared" si="36"/>
        <v>4.1666666666666679</v>
      </c>
      <c r="Q62" s="149">
        <f t="shared" si="36"/>
        <v>2.4691358024691357</v>
      </c>
      <c r="R62" s="149">
        <f t="shared" si="36"/>
        <v>1.0802469135802466</v>
      </c>
      <c r="S62" s="149" t="str">
        <f t="shared" si="36"/>
        <v/>
      </c>
    </row>
    <row r="63" spans="1:20" ht="12.75" customHeight="1">
      <c r="A63" s="140">
        <v>0</v>
      </c>
      <c r="B63" s="140"/>
      <c r="C63" s="140"/>
      <c r="D63" s="140"/>
      <c r="E63" s="149">
        <f t="shared" si="22"/>
        <v>61.728395061728399</v>
      </c>
      <c r="F63" s="149">
        <f t="shared" ref="F63:S63" si="37">IF(F42&lt;&gt;"",F42*0.02,"")</f>
        <v>39.506172839506171</v>
      </c>
      <c r="G63" s="149">
        <f t="shared" si="37"/>
        <v>34.722222222222221</v>
      </c>
      <c r="H63" s="149">
        <f t="shared" si="37"/>
        <v>30.246913580246911</v>
      </c>
      <c r="I63" s="149">
        <f t="shared" si="37"/>
        <v>26.08024691358024</v>
      </c>
      <c r="J63" s="149">
        <f t="shared" si="37"/>
        <v>22.222222222222225</v>
      </c>
      <c r="K63" s="149">
        <f t="shared" si="37"/>
        <v>18.672839506172835</v>
      </c>
      <c r="L63" s="149">
        <f t="shared" si="37"/>
        <v>15.4320987654321</v>
      </c>
      <c r="M63" s="149">
        <f t="shared" si="37"/>
        <v>12.5</v>
      </c>
      <c r="N63" s="149">
        <f t="shared" si="37"/>
        <v>9.8765432098765427</v>
      </c>
      <c r="O63" s="149">
        <f t="shared" si="37"/>
        <v>7.5617283950617278</v>
      </c>
      <c r="P63" s="149">
        <f t="shared" si="37"/>
        <v>5.5555555555555562</v>
      </c>
      <c r="Q63" s="149">
        <f t="shared" si="37"/>
        <v>3.8580246913580249</v>
      </c>
      <c r="R63" s="149">
        <f t="shared" si="37"/>
        <v>2.4691358024691357</v>
      </c>
      <c r="S63" s="149">
        <f t="shared" si="37"/>
        <v>1.3888888888888891</v>
      </c>
    </row>
    <row r="64" spans="1:20" ht="12.75" customHeight="1">
      <c r="A64" s="154"/>
      <c r="B64" s="154"/>
      <c r="C64" s="154"/>
      <c r="D64" s="154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</row>
    <row r="65" spans="1:19" ht="12.75" customHeight="1" thickBot="1">
      <c r="A65" s="154"/>
      <c r="B65" s="154"/>
      <c r="C65" s="154"/>
      <c r="D65" s="154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</row>
    <row r="66" spans="1:19" ht="12.75" customHeight="1">
      <c r="A66" s="154"/>
      <c r="B66" s="202" t="s">
        <v>113</v>
      </c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165"/>
      <c r="O66" s="165"/>
      <c r="P66" s="166"/>
      <c r="Q66" s="155"/>
      <c r="R66" s="155"/>
      <c r="S66" s="155"/>
    </row>
    <row r="67" spans="1:19" ht="12.75" customHeight="1">
      <c r="A67" s="154"/>
      <c r="B67" s="167"/>
      <c r="C67" s="168"/>
      <c r="D67" s="168"/>
      <c r="E67" s="168"/>
      <c r="F67" s="168"/>
      <c r="G67" s="168"/>
      <c r="H67" s="169">
        <v>90</v>
      </c>
      <c r="I67" s="170">
        <v>100</v>
      </c>
      <c r="J67" s="169">
        <v>110</v>
      </c>
      <c r="K67" s="170">
        <v>120</v>
      </c>
      <c r="L67" s="170">
        <v>130</v>
      </c>
      <c r="M67" s="169">
        <v>140</v>
      </c>
      <c r="N67" s="170">
        <v>150</v>
      </c>
      <c r="O67" s="169">
        <v>160</v>
      </c>
      <c r="P67" s="171">
        <v>200</v>
      </c>
      <c r="Q67" s="155"/>
      <c r="R67" s="155"/>
      <c r="S67" s="155"/>
    </row>
    <row r="68" spans="1:19" ht="12.75" customHeight="1">
      <c r="A68" s="154"/>
      <c r="B68" s="167"/>
      <c r="C68" s="168"/>
      <c r="D68" s="168"/>
      <c r="E68" s="168"/>
      <c r="F68" s="168"/>
      <c r="G68" s="168"/>
      <c r="H68" s="177">
        <f t="shared" ref="H68:P68" si="38">K78+K83</f>
        <v>9.4444444444444437E-4</v>
      </c>
      <c r="I68" s="177">
        <f t="shared" si="38"/>
        <v>1.1157407407407401E-3</v>
      </c>
      <c r="J68" s="177">
        <f t="shared" si="38"/>
        <v>1.308922558922559E-3</v>
      </c>
      <c r="K68" s="177">
        <f t="shared" si="38"/>
        <v>1.523148148148148E-3</v>
      </c>
      <c r="L68" s="177">
        <f t="shared" si="38"/>
        <v>1.7555199430199426E-3</v>
      </c>
      <c r="M68" s="177">
        <f t="shared" si="38"/>
        <v>2.0023148148148153E-3</v>
      </c>
      <c r="N68" s="177">
        <f t="shared" si="38"/>
        <v>2.257870370370371E-3</v>
      </c>
      <c r="O68" s="177">
        <f t="shared" si="38"/>
        <v>2.5842013888888885E-3</v>
      </c>
      <c r="P68" s="178">
        <f t="shared" si="38"/>
        <v>2.8472222222222223E-3</v>
      </c>
      <c r="Q68" s="155"/>
      <c r="R68" s="155"/>
      <c r="S68" s="155"/>
    </row>
    <row r="69" spans="1:19" ht="12.75" customHeight="1" thickBot="1">
      <c r="A69" s="154"/>
      <c r="B69" s="173"/>
      <c r="C69" s="174"/>
      <c r="D69" s="174"/>
      <c r="E69" s="174"/>
      <c r="F69" s="174"/>
      <c r="G69" s="174"/>
      <c r="H69" s="175">
        <f>H68+"0:0:30"</f>
        <v>1.2916666666666667E-3</v>
      </c>
      <c r="I69" s="175">
        <f t="shared" ref="I69:P69" si="39">I68+"0:0:30"</f>
        <v>1.4629629629629624E-3</v>
      </c>
      <c r="J69" s="175">
        <f t="shared" si="39"/>
        <v>1.6561447811447813E-3</v>
      </c>
      <c r="K69" s="175">
        <f t="shared" si="39"/>
        <v>1.8703703703703703E-3</v>
      </c>
      <c r="L69" s="175">
        <f t="shared" si="39"/>
        <v>2.1027421652421649E-3</v>
      </c>
      <c r="M69" s="175">
        <f t="shared" si="39"/>
        <v>2.3495370370370376E-3</v>
      </c>
      <c r="N69" s="175">
        <f t="shared" si="39"/>
        <v>2.6050925925925933E-3</v>
      </c>
      <c r="O69" s="175">
        <f t="shared" si="39"/>
        <v>2.9314236111111108E-3</v>
      </c>
      <c r="P69" s="176">
        <f t="shared" si="39"/>
        <v>3.1944444444444446E-3</v>
      </c>
      <c r="Q69" s="155"/>
      <c r="R69" s="155"/>
      <c r="S69" s="155"/>
    </row>
    <row r="70" spans="1:19" ht="12.75" customHeight="1">
      <c r="A70" s="154"/>
      <c r="B70" s="154"/>
      <c r="C70" s="154"/>
      <c r="D70" s="154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</row>
    <row r="71" spans="1:19" s="158" customFormat="1" ht="12.75" hidden="1" customHeight="1">
      <c r="A71" s="156"/>
      <c r="B71" s="156"/>
      <c r="C71" s="156"/>
      <c r="D71" s="156"/>
      <c r="E71" s="157"/>
      <c r="F71" s="157"/>
      <c r="G71" s="157"/>
      <c r="H71" s="205" t="s">
        <v>43</v>
      </c>
      <c r="I71" s="206"/>
      <c r="J71" s="206"/>
      <c r="K71" s="206"/>
      <c r="L71" s="206"/>
      <c r="M71" s="206"/>
      <c r="N71" s="206"/>
      <c r="O71" s="206"/>
      <c r="P71" s="157"/>
      <c r="Q71" s="157"/>
      <c r="R71" s="157"/>
      <c r="S71" s="157"/>
    </row>
    <row r="72" spans="1:19" s="158" customFormat="1" ht="12.75" hidden="1" customHeight="1">
      <c r="A72" s="159">
        <v>0.50034722222222217</v>
      </c>
      <c r="B72" s="159"/>
      <c r="C72" s="159"/>
      <c r="D72" s="159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</row>
    <row r="73" spans="1:19" s="158" customFormat="1" ht="12.75" hidden="1" customHeight="1">
      <c r="A73" s="161"/>
      <c r="B73" s="161"/>
      <c r="C73" s="161"/>
      <c r="D73" s="161"/>
      <c r="E73" s="161"/>
      <c r="F73" s="161"/>
      <c r="G73" s="161"/>
      <c r="H73" s="162">
        <v>60</v>
      </c>
      <c r="I73" s="162">
        <v>70</v>
      </c>
      <c r="J73" s="162">
        <v>80</v>
      </c>
      <c r="K73" s="162">
        <v>90</v>
      </c>
      <c r="L73" s="162">
        <v>100</v>
      </c>
      <c r="M73" s="162">
        <v>110</v>
      </c>
      <c r="N73" s="162">
        <v>120</v>
      </c>
      <c r="O73" s="162">
        <v>130</v>
      </c>
      <c r="P73" s="162">
        <v>140</v>
      </c>
      <c r="Q73" s="162">
        <v>150</v>
      </c>
      <c r="R73" s="162">
        <v>160</v>
      </c>
      <c r="S73" s="162">
        <v>200</v>
      </c>
    </row>
    <row r="74" spans="1:19" s="162" customFormat="1" ht="12.75" hidden="1" customHeight="1">
      <c r="A74" s="162">
        <v>0</v>
      </c>
      <c r="H74" s="159">
        <f>"12:01:37"-$A$72</f>
        <v>7.7546296296304718E-4</v>
      </c>
      <c r="I74" s="159">
        <f>"12:01:47"-$A$72</f>
        <v>8.91203703703769E-4</v>
      </c>
      <c r="J74" s="159">
        <f>"12:01:57"-$A$72</f>
        <v>1.0069444444444908E-3</v>
      </c>
      <c r="K74" s="159">
        <f>"12:02:06"-$A$72</f>
        <v>1.1111111111111738E-3</v>
      </c>
      <c r="L74" s="159">
        <f>"12:02:17"-$A$72</f>
        <v>1.2384259259259345E-3</v>
      </c>
      <c r="M74" s="159">
        <f>"12:02:29"-$A$72</f>
        <v>1.3773148148148451E-3</v>
      </c>
      <c r="N74" s="159">
        <f>"12:02:42"-$A$72</f>
        <v>1.5277777777777946E-3</v>
      </c>
      <c r="O74" s="159">
        <f>"12:02:57"-$A$72</f>
        <v>1.7013888888889328E-3</v>
      </c>
      <c r="P74" s="159">
        <f>"12:03:14"-$A$72</f>
        <v>1.8981481481481488E-3</v>
      </c>
      <c r="Q74" s="159">
        <f>"12:03:35"-$A$72</f>
        <v>2.1412037037037424E-3</v>
      </c>
      <c r="R74" s="159">
        <f>"12:03:57"-$A$72</f>
        <v>2.3958333333333748E-3</v>
      </c>
      <c r="S74" s="159">
        <v>3.472222222222222E-3</v>
      </c>
    </row>
    <row r="75" spans="1:19" s="158" customFormat="1" ht="12.75" hidden="1" customHeight="1">
      <c r="A75" s="161"/>
      <c r="B75" s="161"/>
      <c r="C75" s="161"/>
      <c r="D75" s="161"/>
      <c r="E75" s="161"/>
      <c r="F75" s="161"/>
      <c r="G75" s="161"/>
      <c r="H75" s="163">
        <v>1.1574074074074073E-4</v>
      </c>
      <c r="I75" s="163">
        <f t="shared" ref="I75:S75" si="40">I74-H74</f>
        <v>1.1574074074072183E-4</v>
      </c>
      <c r="J75" s="163">
        <f t="shared" si="40"/>
        <v>1.1574074074072183E-4</v>
      </c>
      <c r="K75" s="163">
        <f t="shared" si="40"/>
        <v>1.0416666666668295E-4</v>
      </c>
      <c r="L75" s="163">
        <f t="shared" si="40"/>
        <v>1.273148148147607E-4</v>
      </c>
      <c r="M75" s="163">
        <f t="shared" si="40"/>
        <v>1.388888888889106E-4</v>
      </c>
      <c r="N75" s="163">
        <f t="shared" si="40"/>
        <v>1.5046296296294948E-4</v>
      </c>
      <c r="O75" s="163">
        <f t="shared" si="40"/>
        <v>1.7361111111113825E-4</v>
      </c>
      <c r="P75" s="163">
        <f t="shared" si="40"/>
        <v>1.96759259259216E-4</v>
      </c>
      <c r="Q75" s="163">
        <f t="shared" si="40"/>
        <v>2.4305555555559355E-4</v>
      </c>
      <c r="R75" s="163">
        <f t="shared" si="40"/>
        <v>2.5462962962963243E-4</v>
      </c>
      <c r="S75" s="163">
        <f t="shared" si="40"/>
        <v>1.0763888888888472E-3</v>
      </c>
    </row>
    <row r="76" spans="1:19" s="158" customFormat="1" ht="12.75" hidden="1" customHeight="1">
      <c r="A76" s="161">
        <v>30.25</v>
      </c>
      <c r="B76" s="161"/>
      <c r="C76" s="161"/>
      <c r="D76" s="161"/>
      <c r="E76" s="161"/>
      <c r="F76" s="161"/>
      <c r="G76" s="161"/>
      <c r="H76" s="160">
        <f>$A$76-29.67</f>
        <v>0.57999999999999829</v>
      </c>
      <c r="I76" s="160">
        <f>$A$76-29.44</f>
        <v>0.80999999999999872</v>
      </c>
      <c r="J76" s="160">
        <f>$A$76-29.19</f>
        <v>1.0599999999999987</v>
      </c>
      <c r="K76" s="160">
        <f>$A$76-28.91</f>
        <v>1.3399999999999999</v>
      </c>
      <c r="L76" s="160">
        <f>$A$76-28.6</f>
        <v>1.6499999999999986</v>
      </c>
      <c r="M76" s="160">
        <f>$A$76-28.2</f>
        <v>2.0500000000000007</v>
      </c>
      <c r="N76" s="160">
        <f>$A$76-27.73</f>
        <v>2.5199999999999996</v>
      </c>
      <c r="O76" s="160">
        <f>$A$76-27.12</f>
        <v>3.129999999999999</v>
      </c>
      <c r="P76" s="160">
        <f>$A$76-26.4</f>
        <v>3.8500000000000014</v>
      </c>
      <c r="Q76" s="160">
        <f>$A$76-25.58</f>
        <v>4.6700000000000017</v>
      </c>
      <c r="R76" s="160">
        <f>$A$76-24.46</f>
        <v>5.7899999999999991</v>
      </c>
      <c r="S76" s="160">
        <v>8</v>
      </c>
    </row>
    <row r="77" spans="1:19" s="164" customFormat="1" ht="12.75" hidden="1" customHeight="1">
      <c r="A77" s="162"/>
      <c r="B77" s="162"/>
      <c r="C77" s="162"/>
      <c r="D77" s="162"/>
      <c r="H77" s="164">
        <f t="shared" ref="H77:O77" si="41">3600/H73</f>
        <v>60</v>
      </c>
      <c r="I77" s="164">
        <f t="shared" si="41"/>
        <v>51.428571428571431</v>
      </c>
      <c r="J77" s="164">
        <f t="shared" si="41"/>
        <v>45</v>
      </c>
      <c r="K77" s="164">
        <f t="shared" si="41"/>
        <v>40</v>
      </c>
      <c r="L77" s="164">
        <f t="shared" si="41"/>
        <v>36</v>
      </c>
      <c r="M77" s="164">
        <f t="shared" si="41"/>
        <v>32.727272727272727</v>
      </c>
      <c r="N77" s="164">
        <f t="shared" si="41"/>
        <v>30</v>
      </c>
      <c r="O77" s="164">
        <f t="shared" si="41"/>
        <v>27.692307692307693</v>
      </c>
      <c r="P77" s="164">
        <f>3600/P73</f>
        <v>25.714285714285715</v>
      </c>
      <c r="Q77" s="164">
        <f>3600/Q73</f>
        <v>24</v>
      </c>
      <c r="R77" s="164">
        <f>3600/R73</f>
        <v>22.5</v>
      </c>
      <c r="S77" s="164">
        <f>3600/S73</f>
        <v>18</v>
      </c>
    </row>
    <row r="78" spans="1:19" s="164" customFormat="1" ht="12.75" hidden="1" customHeight="1">
      <c r="A78" s="162"/>
      <c r="B78" s="162"/>
      <c r="C78" s="162"/>
      <c r="D78" s="162"/>
      <c r="H78" s="163">
        <f t="shared" ref="H78:S78" si="42">H77*H76/60/60/24</f>
        <v>4.0277777777777659E-4</v>
      </c>
      <c r="I78" s="163">
        <f t="shared" si="42"/>
        <v>4.8214285714285649E-4</v>
      </c>
      <c r="J78" s="163">
        <f t="shared" si="42"/>
        <v>5.520833333333327E-4</v>
      </c>
      <c r="K78" s="163">
        <f t="shared" si="42"/>
        <v>6.203703703703703E-4</v>
      </c>
      <c r="L78" s="163">
        <f t="shared" si="42"/>
        <v>6.8749999999999931E-4</v>
      </c>
      <c r="M78" s="163">
        <f t="shared" si="42"/>
        <v>7.7651515151515164E-4</v>
      </c>
      <c r="N78" s="163">
        <f t="shared" si="42"/>
        <v>8.7500000000000002E-4</v>
      </c>
      <c r="O78" s="163">
        <f t="shared" si="42"/>
        <v>1.0032051282051278E-3</v>
      </c>
      <c r="P78" s="163">
        <f t="shared" si="42"/>
        <v>1.145833333333334E-3</v>
      </c>
      <c r="Q78" s="163">
        <f t="shared" si="42"/>
        <v>1.2972222222222228E-3</v>
      </c>
      <c r="R78" s="163">
        <f t="shared" si="42"/>
        <v>1.5078124999999998E-3</v>
      </c>
      <c r="S78" s="163">
        <f t="shared" si="42"/>
        <v>1.6666666666666668E-3</v>
      </c>
    </row>
    <row r="79" spans="1:19" s="158" customFormat="1" ht="12.75" hidden="1" customHeight="1">
      <c r="A79" s="204" t="s">
        <v>42</v>
      </c>
      <c r="B79" s="204"/>
      <c r="C79" s="204"/>
      <c r="D79" s="204"/>
      <c r="E79" s="204"/>
      <c r="F79" s="204"/>
      <c r="G79" s="204"/>
      <c r="H79" s="163">
        <f t="shared" ref="H79:S79" si="43">H74-H78</f>
        <v>3.7268518518527059E-4</v>
      </c>
      <c r="I79" s="163">
        <f t="shared" si="43"/>
        <v>4.0906084656091251E-4</v>
      </c>
      <c r="J79" s="163">
        <f t="shared" si="43"/>
        <v>4.5486111111115812E-4</v>
      </c>
      <c r="K79" s="163">
        <f t="shared" si="43"/>
        <v>4.9074074074080347E-4</v>
      </c>
      <c r="L79" s="163">
        <f t="shared" si="43"/>
        <v>5.5092592592593517E-4</v>
      </c>
      <c r="M79" s="163">
        <f t="shared" si="43"/>
        <v>6.0079966329969344E-4</v>
      </c>
      <c r="N79" s="163">
        <f t="shared" si="43"/>
        <v>6.5277777777779454E-4</v>
      </c>
      <c r="O79" s="163">
        <f t="shared" si="43"/>
        <v>6.9818376068380501E-4</v>
      </c>
      <c r="P79" s="163">
        <f t="shared" si="43"/>
        <v>7.5231481481481482E-4</v>
      </c>
      <c r="Q79" s="163">
        <f t="shared" si="43"/>
        <v>8.4398148148151953E-4</v>
      </c>
      <c r="R79" s="163">
        <f t="shared" si="43"/>
        <v>8.8802083333337496E-4</v>
      </c>
      <c r="S79" s="163">
        <f t="shared" si="43"/>
        <v>1.8055555555555553E-3</v>
      </c>
    </row>
    <row r="80" spans="1:19" s="158" customFormat="1" ht="12.75" hidden="1" customHeight="1">
      <c r="A80" s="161"/>
      <c r="B80" s="161"/>
      <c r="C80" s="161"/>
      <c r="D80" s="161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</row>
    <row r="81" spans="1:19" s="158" customFormat="1" ht="12.75" hidden="1" customHeight="1">
      <c r="A81" s="161"/>
      <c r="B81" s="161"/>
      <c r="C81" s="161"/>
      <c r="D81" s="161"/>
      <c r="E81" s="160"/>
      <c r="F81" s="193" t="s">
        <v>44</v>
      </c>
      <c r="G81" s="194"/>
      <c r="H81" s="194"/>
      <c r="I81" s="194"/>
      <c r="J81" s="194"/>
      <c r="K81" s="194"/>
      <c r="L81" s="194"/>
      <c r="M81" s="194"/>
      <c r="N81" s="194"/>
      <c r="O81" s="160"/>
      <c r="P81" s="160"/>
      <c r="Q81" s="160"/>
    </row>
    <row r="82" spans="1:19" s="158" customFormat="1" ht="12.75" hidden="1" customHeight="1">
      <c r="A82" s="161"/>
      <c r="B82" s="161"/>
      <c r="C82" s="161"/>
      <c r="D82" s="161"/>
      <c r="E82" s="162"/>
      <c r="F82" s="162"/>
      <c r="G82" s="162"/>
      <c r="H82" s="162"/>
      <c r="I82" s="162"/>
      <c r="J82" s="162"/>
      <c r="K82" s="162">
        <v>90</v>
      </c>
      <c r="L82" s="162">
        <v>100</v>
      </c>
      <c r="M82" s="162">
        <v>110</v>
      </c>
      <c r="N82" s="162">
        <v>120</v>
      </c>
      <c r="O82" s="162">
        <v>130</v>
      </c>
      <c r="P82" s="162">
        <v>140</v>
      </c>
      <c r="Q82" s="162">
        <v>150</v>
      </c>
      <c r="R82" s="162">
        <v>160</v>
      </c>
      <c r="S82" s="162">
        <v>200</v>
      </c>
    </row>
    <row r="83" spans="1:19" s="158" customFormat="1" ht="12.75" hidden="1" customHeight="1">
      <c r="A83" s="161"/>
      <c r="B83" s="161"/>
      <c r="C83" s="161"/>
      <c r="D83" s="161"/>
      <c r="E83" s="160"/>
      <c r="F83" s="160"/>
      <c r="G83" s="160"/>
      <c r="H83" s="160"/>
      <c r="I83" s="160"/>
      <c r="J83" s="160"/>
      <c r="K83" s="163">
        <v>3.2407407407407406E-4</v>
      </c>
      <c r="L83" s="163">
        <v>4.2824074074074075E-4</v>
      </c>
      <c r="M83" s="163">
        <v>5.3240740740740744E-4</v>
      </c>
      <c r="N83" s="163">
        <v>6.4814814814814813E-4</v>
      </c>
      <c r="O83" s="163">
        <v>7.5231481481481471E-4</v>
      </c>
      <c r="P83" s="163">
        <v>8.564814814814815E-4</v>
      </c>
      <c r="Q83" s="163">
        <v>9.6064814814814808E-4</v>
      </c>
      <c r="R83" s="163">
        <v>1.0763888888888889E-3</v>
      </c>
      <c r="S83" s="163">
        <v>1.1805555555555556E-3</v>
      </c>
    </row>
    <row r="84" spans="1:19" s="158" customFormat="1" ht="12.75" hidden="1" customHeight="1">
      <c r="A84" s="161"/>
      <c r="B84" s="161"/>
      <c r="C84" s="161"/>
      <c r="D84" s="161"/>
      <c r="E84" s="160"/>
      <c r="F84" s="160"/>
      <c r="G84" s="160"/>
      <c r="H84" s="163"/>
      <c r="I84" s="163"/>
      <c r="J84" s="163"/>
      <c r="K84" s="163"/>
      <c r="L84" s="163"/>
      <c r="M84" s="163"/>
      <c r="N84" s="163"/>
      <c r="O84" s="163"/>
      <c r="P84" s="163"/>
    </row>
    <row r="85" spans="1:19" s="158" customFormat="1" ht="12.75" hidden="1" customHeight="1">
      <c r="A85" s="161"/>
      <c r="B85" s="161"/>
      <c r="C85" s="161"/>
      <c r="D85" s="161"/>
    </row>
    <row r="86" spans="1:19" s="158" customFormat="1" ht="12.75" hidden="1" customHeight="1">
      <c r="A86" s="161"/>
      <c r="B86" s="161"/>
      <c r="C86" s="161"/>
      <c r="D86" s="161"/>
    </row>
    <row r="87" spans="1:19" s="158" customFormat="1" ht="12.75" hidden="1" customHeight="1">
      <c r="A87" s="161"/>
      <c r="B87" s="161"/>
      <c r="C87" s="161"/>
      <c r="D87" s="161"/>
    </row>
    <row r="88" spans="1:19" ht="12.75" hidden="1" customHeight="1"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</row>
  </sheetData>
  <sheetProtection password="EBA3" sheet="1" objects="1" scenarios="1" selectLockedCells="1"/>
  <mergeCells count="8">
    <mergeCell ref="F81:N81"/>
    <mergeCell ref="B44:S44"/>
    <mergeCell ref="B23:S23"/>
    <mergeCell ref="B2:S2"/>
    <mergeCell ref="B1:S1"/>
    <mergeCell ref="B66:M66"/>
    <mergeCell ref="A79:G79"/>
    <mergeCell ref="H71:O71"/>
  </mergeCells>
  <phoneticPr fontId="0" type="noConversion"/>
  <pageMargins left="0.56999999999999995" right="0.51" top="0.51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P70"/>
  <sheetViews>
    <sheetView tabSelected="1" workbookViewId="0">
      <selection activeCell="G1" sqref="G1"/>
    </sheetView>
  </sheetViews>
  <sheetFormatPr baseColWidth="10" defaultColWidth="0" defaultRowHeight="12.75" zeroHeight="1"/>
  <cols>
    <col min="1" max="7" width="11.42578125" style="1" customWidth="1"/>
    <col min="8" max="8" width="0" style="126" hidden="1" customWidth="1"/>
    <col min="9" max="16" width="11.42578125" style="1" hidden="1" customWidth="1"/>
    <col min="17" max="16384" width="0" style="1" hidden="1"/>
  </cols>
  <sheetData>
    <row r="1" spans="1:8" s="123" customFormat="1" ht="24.75" customHeight="1" thickBot="1">
      <c r="A1" s="207" t="s">
        <v>101</v>
      </c>
      <c r="B1" s="207"/>
      <c r="C1" s="181">
        <v>0</v>
      </c>
      <c r="D1" s="134"/>
      <c r="E1" s="207" t="s">
        <v>102</v>
      </c>
      <c r="F1" s="207"/>
      <c r="G1" s="181">
        <v>230</v>
      </c>
      <c r="H1" s="125"/>
    </row>
    <row r="2" spans="1:8" ht="17.25" thickBot="1">
      <c r="A2" s="5" t="s">
        <v>2</v>
      </c>
      <c r="B2" s="124">
        <f>G1-C1</f>
        <v>230</v>
      </c>
      <c r="C2" s="6" t="s">
        <v>3</v>
      </c>
      <c r="D2" s="132">
        <v>0.15</v>
      </c>
      <c r="E2" s="218" t="s">
        <v>4</v>
      </c>
      <c r="F2" s="219"/>
      <c r="G2" s="131">
        <v>10</v>
      </c>
    </row>
    <row r="3" spans="1:8" ht="17.25" thickBot="1">
      <c r="A3" s="7">
        <v>119</v>
      </c>
      <c r="B3" s="220" t="s">
        <v>5</v>
      </c>
      <c r="C3" s="221"/>
      <c r="D3" s="221"/>
      <c r="E3" s="220"/>
      <c r="F3" s="9" t="s">
        <v>6</v>
      </c>
      <c r="G3" s="10" t="s">
        <v>7</v>
      </c>
    </row>
    <row r="4" spans="1:8" ht="17.25" thickBot="1">
      <c r="A4" s="103">
        <v>82.3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  <c r="G4" s="11" t="s">
        <v>13</v>
      </c>
    </row>
    <row r="5" spans="1:8" ht="15">
      <c r="A5" s="104"/>
      <c r="B5" s="102"/>
      <c r="C5" s="12"/>
      <c r="D5" s="12"/>
      <c r="E5" s="13"/>
      <c r="F5" s="14"/>
      <c r="G5" s="15"/>
    </row>
    <row r="6" spans="1:8" ht="15">
      <c r="A6" s="105">
        <v>1</v>
      </c>
      <c r="B6" s="96">
        <f t="shared" ref="B6:B24" si="0">IF($D$2*A6&lt;=6.1,IF($D$2*A6&lt;=3,$D$2*A6,""),"Erreur Palier")</f>
        <v>0.15</v>
      </c>
      <c r="C6" s="31">
        <f t="shared" ref="C6:C25" si="1">IF($B6&lt;&gt;"",TAN($B6*PI()/180)*$G$2,"")</f>
        <v>2.6179998591569428E-2</v>
      </c>
      <c r="D6" s="31">
        <f>IF($B6&lt;&gt;"",C6+C5,"")</f>
        <v>2.6179998591569428E-2</v>
      </c>
      <c r="E6" s="31">
        <f>IF($B6&lt;&gt;"",$B$2-D6,"")</f>
        <v>229.97382000140843</v>
      </c>
      <c r="F6" s="30">
        <f>IF($B6&lt;&gt;"",E6/TAN(B6*PI()/180),"")</f>
        <v>87843.32787377054</v>
      </c>
      <c r="G6" s="81">
        <f>IF($B6&lt;&gt;"",F6+(2*(A6-1)*$G$2),"")</f>
        <v>87843.32787377054</v>
      </c>
      <c r="H6" s="126">
        <f>$B$2*$G$2/C6</f>
        <v>87853.32787377054</v>
      </c>
    </row>
    <row r="7" spans="1:8" ht="15">
      <c r="A7" s="105">
        <v>2</v>
      </c>
      <c r="B7" s="96">
        <f t="shared" si="0"/>
        <v>0.3</v>
      </c>
      <c r="C7" s="31">
        <f t="shared" si="1"/>
        <v>5.2360356057001275E-2</v>
      </c>
      <c r="D7" s="31">
        <f t="shared" ref="D7:D15" si="2">IF($B7&lt;&gt;"",C7+C6,"")</f>
        <v>7.8540354648570704E-2</v>
      </c>
      <c r="E7" s="31">
        <f t="shared" ref="E7:E25" si="3">IF($B7&lt;&gt;"",$B$2-D7,"")</f>
        <v>229.92145964535143</v>
      </c>
      <c r="F7" s="30">
        <f t="shared" ref="F7:F15" si="4">IF($B7&lt;&gt;"",E7/TAN(B7*PI()/180),"")</f>
        <v>43911.362901171087</v>
      </c>
      <c r="G7" s="81">
        <f t="shared" ref="G7:G15" si="5">IF($B7&lt;&gt;"",F7+(2*(A7-1)*$G$2),"")</f>
        <v>43931.362901171087</v>
      </c>
      <c r="H7" s="126">
        <f t="shared" ref="H7:H25" si="6">$B$2*$G$2/C7</f>
        <v>43926.362866901465</v>
      </c>
    </row>
    <row r="8" spans="1:8" ht="15">
      <c r="A8" s="105">
        <v>3</v>
      </c>
      <c r="B8" s="96">
        <f t="shared" si="0"/>
        <v>0.44999999999999996</v>
      </c>
      <c r="C8" s="31">
        <f t="shared" si="1"/>
        <v>7.8541431289835886E-2</v>
      </c>
      <c r="D8" s="31">
        <f t="shared" si="2"/>
        <v>0.13090178734683716</v>
      </c>
      <c r="E8" s="31">
        <f t="shared" si="3"/>
        <v>229.86909821265317</v>
      </c>
      <c r="F8" s="30">
        <f t="shared" si="4"/>
        <v>29267.240797329439</v>
      </c>
      <c r="G8" s="81">
        <f t="shared" si="5"/>
        <v>29307.240797329439</v>
      </c>
      <c r="H8" s="126">
        <f t="shared" si="6"/>
        <v>29283.907387840602</v>
      </c>
    </row>
    <row r="9" spans="1:8" ht="15">
      <c r="A9" s="105">
        <v>4</v>
      </c>
      <c r="B9" s="96">
        <f t="shared" si="0"/>
        <v>0.6</v>
      </c>
      <c r="C9" s="31">
        <f t="shared" si="1"/>
        <v>0.10472358322297189</v>
      </c>
      <c r="D9" s="31">
        <f t="shared" si="2"/>
        <v>0.18326501451280777</v>
      </c>
      <c r="E9" s="31">
        <f t="shared" si="3"/>
        <v>229.81673498548719</v>
      </c>
      <c r="F9" s="30">
        <f t="shared" si="4"/>
        <v>21945.079409303024</v>
      </c>
      <c r="G9" s="81">
        <f t="shared" si="5"/>
        <v>22005.079409303024</v>
      </c>
      <c r="H9" s="126">
        <f t="shared" si="6"/>
        <v>21962.579289356079</v>
      </c>
    </row>
    <row r="10" spans="1:8" ht="15">
      <c r="A10" s="105">
        <v>5</v>
      </c>
      <c r="B10" s="96">
        <f t="shared" si="0"/>
        <v>0.75</v>
      </c>
      <c r="C10" s="31">
        <f t="shared" si="1"/>
        <v>0.13090717084835085</v>
      </c>
      <c r="D10" s="31">
        <f t="shared" si="2"/>
        <v>0.23563075407132272</v>
      </c>
      <c r="E10" s="31">
        <f t="shared" si="3"/>
        <v>229.76436924592869</v>
      </c>
      <c r="F10" s="30">
        <f t="shared" si="4"/>
        <v>17551.702306063795</v>
      </c>
      <c r="G10" s="81">
        <f t="shared" si="5"/>
        <v>17631.702306063795</v>
      </c>
      <c r="H10" s="126">
        <f t="shared" si="6"/>
        <v>17569.702141561294</v>
      </c>
    </row>
    <row r="11" spans="1:8" ht="15">
      <c r="A11" s="105">
        <v>6</v>
      </c>
      <c r="B11" s="96">
        <f t="shared" si="0"/>
        <v>0.89999999999999991</v>
      </c>
      <c r="C11" s="31">
        <f t="shared" si="1"/>
        <v>0.15709255323664911</v>
      </c>
      <c r="D11" s="31">
        <f t="shared" si="2"/>
        <v>0.28799972408499996</v>
      </c>
      <c r="E11" s="31">
        <f t="shared" si="3"/>
        <v>229.71200027591499</v>
      </c>
      <c r="F11" s="30">
        <f t="shared" si="4"/>
        <v>14622.717343569409</v>
      </c>
      <c r="G11" s="81">
        <f t="shared" si="5"/>
        <v>14722.717343569409</v>
      </c>
      <c r="H11" s="126">
        <f t="shared" si="6"/>
        <v>14641.050467460469</v>
      </c>
    </row>
    <row r="12" spans="1:8" ht="15">
      <c r="A12" s="105">
        <v>7</v>
      </c>
      <c r="B12" s="96">
        <f t="shared" si="0"/>
        <v>1.05</v>
      </c>
      <c r="C12" s="31">
        <f t="shared" si="1"/>
        <v>0.18328008955697886</v>
      </c>
      <c r="D12" s="31">
        <f t="shared" si="2"/>
        <v>0.340372642793628</v>
      </c>
      <c r="E12" s="31">
        <f t="shared" si="3"/>
        <v>229.65962735720638</v>
      </c>
      <c r="F12" s="30">
        <f t="shared" si="4"/>
        <v>12530.527888344843</v>
      </c>
      <c r="G12" s="81">
        <f t="shared" si="5"/>
        <v>12650.527888344843</v>
      </c>
      <c r="H12" s="126">
        <f t="shared" si="6"/>
        <v>12549.099062312313</v>
      </c>
    </row>
    <row r="13" spans="1:8" ht="15">
      <c r="A13" s="105">
        <v>8</v>
      </c>
      <c r="B13" s="96">
        <f t="shared" si="0"/>
        <v>1.2</v>
      </c>
      <c r="C13" s="31">
        <f t="shared" si="1"/>
        <v>0.20947013909659987</v>
      </c>
      <c r="D13" s="31">
        <f t="shared" si="2"/>
        <v>0.39275022865357873</v>
      </c>
      <c r="E13" s="31">
        <f t="shared" si="3"/>
        <v>229.60724977134643</v>
      </c>
      <c r="F13" s="30">
        <f t="shared" si="4"/>
        <v>10961.335623377807</v>
      </c>
      <c r="G13" s="81">
        <f t="shared" si="5"/>
        <v>11101.335623377807</v>
      </c>
      <c r="H13" s="126">
        <f t="shared" si="6"/>
        <v>10980.085323470976</v>
      </c>
    </row>
    <row r="14" spans="1:8" ht="15">
      <c r="A14" s="105">
        <v>9</v>
      </c>
      <c r="B14" s="96">
        <f t="shared" si="0"/>
        <v>1.3499999999999999</v>
      </c>
      <c r="C14" s="31">
        <f t="shared" si="1"/>
        <v>0.23566306128064651</v>
      </c>
      <c r="D14" s="31">
        <f t="shared" si="2"/>
        <v>0.44513320037724635</v>
      </c>
      <c r="E14" s="31">
        <f t="shared" si="3"/>
        <v>229.55486679962274</v>
      </c>
      <c r="F14" s="99">
        <f t="shared" si="4"/>
        <v>9740.8081500838343</v>
      </c>
      <c r="G14" s="81">
        <f t="shared" si="5"/>
        <v>9900.8081500838343</v>
      </c>
      <c r="H14" s="126">
        <f t="shared" si="6"/>
        <v>9759.6966936662811</v>
      </c>
    </row>
    <row r="15" spans="1:8" ht="15">
      <c r="A15" s="105">
        <v>10</v>
      </c>
      <c r="B15" s="96">
        <f t="shared" si="0"/>
        <v>1.5</v>
      </c>
      <c r="C15" s="31">
        <f t="shared" si="1"/>
        <v>0.26185921569186926</v>
      </c>
      <c r="D15" s="31">
        <f t="shared" si="2"/>
        <v>0.49752227697251578</v>
      </c>
      <c r="E15" s="31">
        <f t="shared" si="3"/>
        <v>229.50247772302748</v>
      </c>
      <c r="F15" s="99">
        <f t="shared" si="4"/>
        <v>8764.3460290923613</v>
      </c>
      <c r="G15" s="81">
        <f t="shared" si="5"/>
        <v>8944.3460290923613</v>
      </c>
      <c r="H15" s="126">
        <f t="shared" si="6"/>
        <v>8783.3456383158918</v>
      </c>
    </row>
    <row r="16" spans="1:8" ht="15">
      <c r="A16" s="105">
        <v>11</v>
      </c>
      <c r="B16" s="96">
        <f t="shared" si="0"/>
        <v>1.65</v>
      </c>
      <c r="C16" s="31">
        <f t="shared" si="1"/>
        <v>0.28805896209039566</v>
      </c>
      <c r="D16" s="31">
        <f t="shared" ref="D16:D24" si="7">IF($B16&lt;&gt;"",C16+C15,"")</f>
        <v>0.54991817778226493</v>
      </c>
      <c r="E16" s="31">
        <f t="shared" si="3"/>
        <v>229.45008182221773</v>
      </c>
      <c r="F16" s="99">
        <f t="shared" ref="F16:F24" si="8">IF($B16&lt;&gt;"",E16/TAN(B16*PI()/180),"")</f>
        <v>7965.3859806040018</v>
      </c>
      <c r="G16" s="81">
        <f t="shared" ref="G16:G24" si="9">IF($B16&lt;&gt;"",F16+(2*(A16-1)*$G$2),"")</f>
        <v>8165.3859806040018</v>
      </c>
      <c r="H16" s="126">
        <f t="shared" si="6"/>
        <v>7984.4764533944199</v>
      </c>
    </row>
    <row r="17" spans="1:8" ht="15">
      <c r="A17" s="105">
        <v>12</v>
      </c>
      <c r="B17" s="96">
        <f t="shared" si="0"/>
        <v>1.7999999999999998</v>
      </c>
      <c r="C17" s="31">
        <f t="shared" si="1"/>
        <v>0.31426266043351142</v>
      </c>
      <c r="D17" s="31">
        <f t="shared" si="7"/>
        <v>0.60232162252390709</v>
      </c>
      <c r="E17" s="31">
        <f t="shared" si="3"/>
        <v>229.3976783774761</v>
      </c>
      <c r="F17" s="99">
        <f t="shared" si="8"/>
        <v>7299.5524845691862</v>
      </c>
      <c r="G17" s="81">
        <f t="shared" si="9"/>
        <v>7519.5524845691862</v>
      </c>
      <c r="H17" s="126">
        <f t="shared" si="6"/>
        <v>7318.7186693680114</v>
      </c>
    </row>
    <row r="18" spans="1:8" ht="15">
      <c r="A18" s="105">
        <v>13</v>
      </c>
      <c r="B18" s="96">
        <f t="shared" si="0"/>
        <v>1.95</v>
      </c>
      <c r="C18" s="31">
        <f t="shared" si="1"/>
        <v>0.34047067089546496</v>
      </c>
      <c r="D18" s="31">
        <f t="shared" si="7"/>
        <v>0.65473333132897638</v>
      </c>
      <c r="E18" s="31">
        <f t="shared" si="3"/>
        <v>229.34526666867103</v>
      </c>
      <c r="F18" s="99">
        <f t="shared" si="8"/>
        <v>6736.1240269382006</v>
      </c>
      <c r="G18" s="81">
        <f t="shared" si="9"/>
        <v>6976.1240269382006</v>
      </c>
      <c r="H18" s="126">
        <f t="shared" si="6"/>
        <v>6755.3542686975561</v>
      </c>
    </row>
    <row r="19" spans="1:8" ht="15">
      <c r="A19" s="105">
        <v>14</v>
      </c>
      <c r="B19" s="96">
        <f t="shared" si="0"/>
        <v>2.1</v>
      </c>
      <c r="C19" s="31">
        <f t="shared" si="1"/>
        <v>0.36668335388729667</v>
      </c>
      <c r="D19" s="31">
        <f t="shared" si="7"/>
        <v>0.70715402478276168</v>
      </c>
      <c r="E19" s="31">
        <f t="shared" si="3"/>
        <v>229.29284597521723</v>
      </c>
      <c r="F19" s="99">
        <f t="shared" si="8"/>
        <v>6253.1566689469182</v>
      </c>
      <c r="G19" s="81">
        <f t="shared" si="9"/>
        <v>6513.1566689469182</v>
      </c>
      <c r="H19" s="126">
        <f t="shared" si="6"/>
        <v>6272.4418101262518</v>
      </c>
    </row>
    <row r="20" spans="1:8" ht="15">
      <c r="A20" s="105">
        <v>15</v>
      </c>
      <c r="B20" s="96">
        <f t="shared" si="0"/>
        <v>2.25</v>
      </c>
      <c r="C20" s="31">
        <f t="shared" si="1"/>
        <v>0.39290107007669639</v>
      </c>
      <c r="D20" s="31">
        <f t="shared" si="7"/>
        <v>0.75958442396399306</v>
      </c>
      <c r="E20" s="31">
        <f t="shared" si="3"/>
        <v>229.24041557603601</v>
      </c>
      <c r="F20" s="99">
        <f t="shared" si="8"/>
        <v>5834.5581886882374</v>
      </c>
      <c r="G20" s="81">
        <f t="shared" si="9"/>
        <v>6114.5581886882374</v>
      </c>
      <c r="H20" s="126">
        <f t="shared" si="6"/>
        <v>5853.8909032521287</v>
      </c>
    </row>
    <row r="21" spans="1:8" ht="15">
      <c r="A21" s="105">
        <v>16</v>
      </c>
      <c r="B21" s="96">
        <f t="shared" si="0"/>
        <v>2.4</v>
      </c>
      <c r="C21" s="31">
        <f t="shared" si="1"/>
        <v>0.41912418040789073</v>
      </c>
      <c r="D21" s="31">
        <f t="shared" si="7"/>
        <v>0.81202525048458707</v>
      </c>
      <c r="E21" s="31">
        <f t="shared" si="3"/>
        <v>229.1879747495154</v>
      </c>
      <c r="F21" s="99">
        <f t="shared" si="8"/>
        <v>5468.2594195942156</v>
      </c>
      <c r="G21" s="81">
        <f t="shared" si="9"/>
        <v>5768.2594195942156</v>
      </c>
      <c r="H21" s="126">
        <f t="shared" si="6"/>
        <v>5487.6337551358765</v>
      </c>
    </row>
    <row r="22" spans="1:8" ht="15">
      <c r="A22" s="105">
        <v>17</v>
      </c>
      <c r="B22" s="96">
        <f t="shared" si="0"/>
        <v>2.5499999999999998</v>
      </c>
      <c r="C22" s="31">
        <f t="shared" si="1"/>
        <v>0.4453530461215624</v>
      </c>
      <c r="D22" s="31">
        <f t="shared" si="7"/>
        <v>0.86447722652945314</v>
      </c>
      <c r="E22" s="31">
        <f t="shared" si="3"/>
        <v>229.13552277347054</v>
      </c>
      <c r="F22" s="99">
        <f t="shared" si="8"/>
        <v>5145.0309988657027</v>
      </c>
      <c r="G22" s="81">
        <f t="shared" si="9"/>
        <v>5465.0309988657027</v>
      </c>
      <c r="H22" s="126">
        <f t="shared" si="6"/>
        <v>5164.4420534000301</v>
      </c>
    </row>
    <row r="23" spans="1:8" ht="15">
      <c r="A23" s="105">
        <v>18</v>
      </c>
      <c r="B23" s="96">
        <f t="shared" si="0"/>
        <v>2.6999999999999997</v>
      </c>
      <c r="C23" s="31">
        <f t="shared" si="1"/>
        <v>0.47158802877480471</v>
      </c>
      <c r="D23" s="31">
        <f t="shared" si="7"/>
        <v>0.91694107489636711</v>
      </c>
      <c r="E23" s="31">
        <f t="shared" si="3"/>
        <v>229.08305892510364</v>
      </c>
      <c r="F23" s="99">
        <f t="shared" si="8"/>
        <v>4857.6945330920735</v>
      </c>
      <c r="G23" s="81">
        <f t="shared" si="9"/>
        <v>5197.6945330920735</v>
      </c>
      <c r="H23" s="126">
        <f t="shared" si="6"/>
        <v>4877.1382216284128</v>
      </c>
    </row>
    <row r="24" spans="1:8" ht="15">
      <c r="A24" s="105">
        <v>19</v>
      </c>
      <c r="B24" s="96">
        <f t="shared" si="0"/>
        <v>2.85</v>
      </c>
      <c r="C24" s="31">
        <f t="shared" si="1"/>
        <v>0.4978294902611124</v>
      </c>
      <c r="D24" s="31">
        <f t="shared" si="7"/>
        <v>0.96941751903591711</v>
      </c>
      <c r="E24" s="31">
        <f t="shared" si="3"/>
        <v>229.03058248096409</v>
      </c>
      <c r="F24" s="99">
        <f t="shared" si="8"/>
        <v>4600.5828694647471</v>
      </c>
      <c r="G24" s="81">
        <f t="shared" si="9"/>
        <v>4960.5828694647471</v>
      </c>
      <c r="H24" s="126">
        <f t="shared" si="6"/>
        <v>4620.0557520078737</v>
      </c>
    </row>
    <row r="25" spans="1:8" ht="15.75" thickBot="1">
      <c r="A25" s="106">
        <v>20</v>
      </c>
      <c r="B25" s="107">
        <f>IF($D$2*A25&lt;=6.1,IF($D$2*A25&lt;=3,$D$2*A25,""),"Erreur Palier")</f>
        <v>3</v>
      </c>
      <c r="C25" s="32">
        <f t="shared" si="1"/>
        <v>0.524077792830412</v>
      </c>
      <c r="D25" s="32">
        <f>IF($B25&lt;&gt;"",C25+C24,"")</f>
        <v>1.0219072830915243</v>
      </c>
      <c r="E25" s="32">
        <f t="shared" si="3"/>
        <v>228.97809271690846</v>
      </c>
      <c r="F25" s="108">
        <f>IF($B25&lt;&gt;"",E25/TAN(B25*PI()/180),"")</f>
        <v>4369.1622856266349</v>
      </c>
      <c r="G25" s="82">
        <f>IF($B25&lt;&gt;"",F25+(2*(A25-1)*$G$2),"")</f>
        <v>4749.1622856266349</v>
      </c>
      <c r="H25" s="126">
        <f t="shared" si="6"/>
        <v>4388.6614381774889</v>
      </c>
    </row>
    <row r="26" spans="1:8" ht="15">
      <c r="A26" s="95"/>
      <c r="B26" s="96"/>
      <c r="C26" s="31"/>
      <c r="D26" s="31"/>
      <c r="E26" s="31"/>
      <c r="F26" s="97"/>
      <c r="G26" s="98"/>
      <c r="H26" s="127"/>
    </row>
    <row r="27" spans="1:8" ht="15.75" thickBot="1">
      <c r="B27" s="96"/>
    </row>
    <row r="28" spans="1:8" ht="13.5" thickBot="1">
      <c r="B28" s="222" t="s">
        <v>14</v>
      </c>
      <c r="C28" s="223"/>
      <c r="D28" s="224"/>
      <c r="E28" s="224"/>
      <c r="F28" s="223"/>
      <c r="G28" s="225"/>
    </row>
    <row r="29" spans="1:8" ht="13.5" thickBot="1">
      <c r="B29" s="226" t="s">
        <v>15</v>
      </c>
      <c r="C29" s="227"/>
      <c r="D29" s="226" t="s">
        <v>16</v>
      </c>
      <c r="E29" s="228"/>
      <c r="F29" s="227" t="s">
        <v>2</v>
      </c>
      <c r="G29" s="228"/>
    </row>
    <row r="30" spans="1:8" ht="13.5" thickBot="1">
      <c r="B30" s="208">
        <v>1200</v>
      </c>
      <c r="C30" s="209"/>
      <c r="D30" s="210">
        <v>20</v>
      </c>
      <c r="E30" s="211"/>
      <c r="F30" s="212">
        <f>D30*B30/1000</f>
        <v>24</v>
      </c>
      <c r="G30" s="213"/>
    </row>
    <row r="31" spans="1:8" ht="13.5" thickBot="1">
      <c r="B31" s="100"/>
      <c r="C31" s="101"/>
      <c r="D31" s="2"/>
      <c r="E31" s="3"/>
    </row>
    <row r="32" spans="1:8" ht="13.5" thickBot="1">
      <c r="B32" s="214" t="s">
        <v>17</v>
      </c>
      <c r="C32" s="215"/>
      <c r="D32" s="216">
        <f>ATAN(D30/1000)*180/PI()</f>
        <v>1.1457628381751035</v>
      </c>
      <c r="E32" s="217"/>
    </row>
    <row r="33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2:16" hidden="1"/>
    <row r="66" spans="2:16" hidden="1">
      <c r="B66" s="1" t="s">
        <v>113</v>
      </c>
    </row>
    <row r="67" spans="2:16" hidden="1"/>
    <row r="68" spans="2:16" hidden="1">
      <c r="H68" s="179"/>
      <c r="I68" s="180"/>
      <c r="J68" s="180"/>
      <c r="K68" s="180"/>
      <c r="L68" s="180"/>
      <c r="M68" s="180"/>
      <c r="N68" s="180"/>
      <c r="O68" s="180"/>
      <c r="P68" s="180"/>
    </row>
    <row r="69" spans="2:16" hidden="1"/>
    <row r="70" spans="2:16" hidden="1"/>
  </sheetData>
  <sheetProtection password="EBA3" sheet="1" objects="1" scenarios="1" selectLockedCells="1"/>
  <mergeCells count="13">
    <mergeCell ref="B32:C32"/>
    <mergeCell ref="D32:E32"/>
    <mergeCell ref="E2:F2"/>
    <mergeCell ref="B3:E3"/>
    <mergeCell ref="B28:G28"/>
    <mergeCell ref="B29:C29"/>
    <mergeCell ref="D29:E29"/>
    <mergeCell ref="F29:G29"/>
    <mergeCell ref="E1:F1"/>
    <mergeCell ref="A1:B1"/>
    <mergeCell ref="B30:C30"/>
    <mergeCell ref="D30:E30"/>
    <mergeCell ref="F30:G30"/>
  </mergeCells>
  <phoneticPr fontId="0" type="noConversion"/>
  <conditionalFormatting sqref="B2">
    <cfRule type="cellIs" dxfId="0" priority="1" stopIfTrue="1" operator="greaterThan">
      <formula>500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K37"/>
  <sheetViews>
    <sheetView workbookViewId="0">
      <selection activeCell="F12" sqref="F12"/>
    </sheetView>
  </sheetViews>
  <sheetFormatPr baseColWidth="10" defaultColWidth="0" defaultRowHeight="12.75"/>
  <cols>
    <col min="1" max="4" width="11.42578125" customWidth="1"/>
    <col min="5" max="5" width="11.42578125" style="27" customWidth="1"/>
    <col min="6" max="6" width="11.42578125" customWidth="1"/>
    <col min="7" max="7" width="11.42578125" style="57" customWidth="1"/>
    <col min="8" max="11" width="0" hidden="1" customWidth="1"/>
    <col min="12" max="16384" width="11.42578125" hidden="1"/>
  </cols>
  <sheetData>
    <row r="1" spans="1:7">
      <c r="A1" s="25" t="s">
        <v>45</v>
      </c>
      <c r="B1" s="25" t="s">
        <v>46</v>
      </c>
      <c r="D1" s="33"/>
      <c r="E1" s="37"/>
    </row>
    <row r="2" spans="1:7">
      <c r="A2" s="25"/>
      <c r="B2" s="24"/>
      <c r="D2" s="33"/>
      <c r="E2" s="37"/>
    </row>
    <row r="3" spans="1:7">
      <c r="A3" s="57">
        <v>1</v>
      </c>
      <c r="B3" s="24">
        <f t="shared" ref="B3:B28" si="0">A3*PI()/180</f>
        <v>1.7453292519943295E-2</v>
      </c>
      <c r="C3">
        <f t="shared" ref="C3:C28" si="1">B3*180/PI()</f>
        <v>1</v>
      </c>
      <c r="D3" s="33"/>
      <c r="E3" s="37"/>
    </row>
    <row r="4" spans="1:7">
      <c r="A4" s="58">
        <v>2.5</v>
      </c>
      <c r="B4" s="24">
        <f t="shared" si="0"/>
        <v>4.3633231299858237E-2</v>
      </c>
      <c r="C4">
        <f t="shared" si="1"/>
        <v>2.5</v>
      </c>
      <c r="D4" s="38"/>
      <c r="E4" s="37"/>
    </row>
    <row r="5" spans="1:7">
      <c r="A5" s="58">
        <v>3</v>
      </c>
      <c r="B5" s="24">
        <f t="shared" si="0"/>
        <v>5.2359877559829883E-2</v>
      </c>
      <c r="C5">
        <f t="shared" si="1"/>
        <v>3</v>
      </c>
      <c r="D5" s="38"/>
      <c r="E5" s="37"/>
    </row>
    <row r="6" spans="1:7" s="26" customFormat="1">
      <c r="A6" s="58">
        <v>4</v>
      </c>
      <c r="B6" s="24">
        <f t="shared" si="0"/>
        <v>6.9813170079773182E-2</v>
      </c>
      <c r="C6">
        <f t="shared" si="1"/>
        <v>4</v>
      </c>
      <c r="D6" s="39"/>
      <c r="E6" s="40"/>
      <c r="G6" s="58"/>
    </row>
    <row r="7" spans="1:7" s="26" customFormat="1">
      <c r="A7" s="58">
        <v>5</v>
      </c>
      <c r="B7" s="24">
        <f t="shared" si="0"/>
        <v>8.7266462599716474E-2</v>
      </c>
      <c r="C7">
        <f t="shared" si="1"/>
        <v>5</v>
      </c>
      <c r="E7" s="28"/>
      <c r="G7" s="58"/>
    </row>
    <row r="8" spans="1:7" s="26" customFormat="1">
      <c r="A8" s="58">
        <v>6</v>
      </c>
      <c r="B8" s="24">
        <f t="shared" si="0"/>
        <v>0.10471975511965977</v>
      </c>
      <c r="C8">
        <f t="shared" si="1"/>
        <v>6</v>
      </c>
      <c r="E8" s="28"/>
      <c r="G8" s="58"/>
    </row>
    <row r="9" spans="1:7">
      <c r="A9" s="58">
        <v>9</v>
      </c>
      <c r="B9" s="24">
        <f t="shared" si="0"/>
        <v>0.15707963267948966</v>
      </c>
      <c r="C9">
        <f t="shared" si="1"/>
        <v>9</v>
      </c>
    </row>
    <row r="10" spans="1:7">
      <c r="A10" s="57">
        <f>A7+5</f>
        <v>10</v>
      </c>
      <c r="B10" s="24">
        <f t="shared" si="0"/>
        <v>0.17453292519943295</v>
      </c>
      <c r="C10">
        <f t="shared" si="1"/>
        <v>10</v>
      </c>
    </row>
    <row r="11" spans="1:7" ht="13.5" thickBot="1">
      <c r="A11" s="58">
        <v>12</v>
      </c>
      <c r="B11" s="24">
        <f t="shared" si="0"/>
        <v>0.20943951023931953</v>
      </c>
      <c r="C11">
        <f t="shared" si="1"/>
        <v>12</v>
      </c>
    </row>
    <row r="12" spans="1:7">
      <c r="A12" s="57">
        <f>A10+5</f>
        <v>15</v>
      </c>
      <c r="B12" s="24">
        <f t="shared" si="0"/>
        <v>0.26179938779914941</v>
      </c>
      <c r="C12">
        <f t="shared" si="1"/>
        <v>14.999999999999998</v>
      </c>
      <c r="E12" s="34" t="s">
        <v>49</v>
      </c>
      <c r="F12" s="182">
        <v>171</v>
      </c>
    </row>
    <row r="13" spans="1:7" ht="13.5" thickBot="1">
      <c r="A13" s="57">
        <v>17</v>
      </c>
      <c r="B13" s="24">
        <f t="shared" si="0"/>
        <v>0.29670597283903605</v>
      </c>
      <c r="C13">
        <f t="shared" si="1"/>
        <v>17</v>
      </c>
      <c r="E13" s="35" t="s">
        <v>50</v>
      </c>
      <c r="F13" s="183">
        <v>250</v>
      </c>
    </row>
    <row r="14" spans="1:7" ht="13.5" thickBot="1">
      <c r="A14" s="57">
        <f t="shared" ref="A14:A28" si="2">A13+5</f>
        <v>22</v>
      </c>
      <c r="B14" s="24">
        <f t="shared" si="0"/>
        <v>0.38397243543875248</v>
      </c>
      <c r="C14">
        <f t="shared" si="1"/>
        <v>21.999999999999996</v>
      </c>
      <c r="E14" s="48" t="s">
        <v>51</v>
      </c>
      <c r="F14" s="50">
        <f>IF(F13=0,"",180*F12/F13/PI())</f>
        <v>39.190313186948309</v>
      </c>
    </row>
    <row r="15" spans="1:7">
      <c r="A15" s="57">
        <f t="shared" si="2"/>
        <v>27</v>
      </c>
      <c r="B15" s="24">
        <f t="shared" si="0"/>
        <v>0.47123889803846897</v>
      </c>
      <c r="C15">
        <f t="shared" si="1"/>
        <v>27</v>
      </c>
      <c r="E15"/>
      <c r="F15" s="27">
        <f>F14*PI()/180</f>
        <v>0.68400000000000005</v>
      </c>
    </row>
    <row r="16" spans="1:7">
      <c r="A16" s="57">
        <f t="shared" si="2"/>
        <v>32</v>
      </c>
      <c r="B16" s="24">
        <f t="shared" si="0"/>
        <v>0.55850536063818546</v>
      </c>
      <c r="C16">
        <f t="shared" si="1"/>
        <v>32</v>
      </c>
      <c r="E16"/>
      <c r="F16" s="27"/>
    </row>
    <row r="17" spans="1:6" ht="13.5" thickBot="1">
      <c r="A17" s="57">
        <f t="shared" si="2"/>
        <v>37</v>
      </c>
      <c r="B17" s="24">
        <f t="shared" si="0"/>
        <v>0.64577182323790194</v>
      </c>
      <c r="C17">
        <f t="shared" si="1"/>
        <v>37</v>
      </c>
      <c r="E17"/>
      <c r="F17" s="27"/>
    </row>
    <row r="18" spans="1:6">
      <c r="A18" s="57">
        <f t="shared" si="2"/>
        <v>42</v>
      </c>
      <c r="B18" s="24">
        <f t="shared" si="0"/>
        <v>0.73303828583761843</v>
      </c>
      <c r="C18">
        <f t="shared" si="1"/>
        <v>42</v>
      </c>
      <c r="E18" s="34" t="s">
        <v>49</v>
      </c>
      <c r="F18" s="182">
        <v>3141.6</v>
      </c>
    </row>
    <row r="19" spans="1:6" ht="13.5" thickBot="1">
      <c r="A19" s="57">
        <f t="shared" si="2"/>
        <v>47</v>
      </c>
      <c r="B19" s="24">
        <f t="shared" si="0"/>
        <v>0.82030474843733492</v>
      </c>
      <c r="C19">
        <f t="shared" si="1"/>
        <v>47</v>
      </c>
      <c r="E19" s="36" t="s">
        <v>51</v>
      </c>
      <c r="F19" s="184">
        <v>360</v>
      </c>
    </row>
    <row r="20" spans="1:6" ht="13.5" thickBot="1">
      <c r="A20" s="57">
        <f t="shared" si="2"/>
        <v>52</v>
      </c>
      <c r="B20" s="24">
        <f t="shared" si="0"/>
        <v>0.90757121103705141</v>
      </c>
      <c r="C20">
        <f t="shared" si="1"/>
        <v>52.000000000000007</v>
      </c>
      <c r="E20" s="48" t="s">
        <v>50</v>
      </c>
      <c r="F20" s="49">
        <f>F18/(F19*PI()/180)</f>
        <v>500.00116921749839</v>
      </c>
    </row>
    <row r="21" spans="1:6">
      <c r="A21" s="57">
        <f t="shared" si="2"/>
        <v>57</v>
      </c>
      <c r="B21" s="24">
        <f t="shared" si="0"/>
        <v>0.99483767363676778</v>
      </c>
      <c r="C21">
        <f t="shared" si="1"/>
        <v>57</v>
      </c>
      <c r="E21"/>
      <c r="F21" s="27"/>
    </row>
    <row r="22" spans="1:6">
      <c r="A22" s="57">
        <f t="shared" si="2"/>
        <v>62</v>
      </c>
      <c r="B22" s="24">
        <f t="shared" si="0"/>
        <v>1.0821041362364843</v>
      </c>
      <c r="C22">
        <f t="shared" si="1"/>
        <v>62</v>
      </c>
    </row>
    <row r="23" spans="1:6">
      <c r="A23" s="57">
        <f t="shared" si="2"/>
        <v>67</v>
      </c>
      <c r="B23" s="24">
        <f t="shared" si="0"/>
        <v>1.1693705988362006</v>
      </c>
      <c r="C23">
        <f t="shared" si="1"/>
        <v>66.999999999999986</v>
      </c>
    </row>
    <row r="24" spans="1:6">
      <c r="A24" s="57">
        <f t="shared" si="2"/>
        <v>72</v>
      </c>
      <c r="B24" s="24">
        <f t="shared" si="0"/>
        <v>1.2566370614359172</v>
      </c>
      <c r="C24">
        <f t="shared" si="1"/>
        <v>72</v>
      </c>
    </row>
    <row r="25" spans="1:6">
      <c r="A25" s="57">
        <f t="shared" si="2"/>
        <v>77</v>
      </c>
      <c r="B25" s="24">
        <f t="shared" si="0"/>
        <v>1.3439035240356338</v>
      </c>
      <c r="C25">
        <f t="shared" si="1"/>
        <v>77.000000000000014</v>
      </c>
    </row>
    <row r="26" spans="1:6">
      <c r="A26" s="57">
        <f t="shared" si="2"/>
        <v>82</v>
      </c>
      <c r="B26" s="24">
        <f t="shared" si="0"/>
        <v>1.43116998663535</v>
      </c>
      <c r="C26">
        <f t="shared" si="1"/>
        <v>82</v>
      </c>
    </row>
    <row r="27" spans="1:6">
      <c r="A27" s="57">
        <f t="shared" si="2"/>
        <v>87</v>
      </c>
      <c r="B27" s="24">
        <f t="shared" si="0"/>
        <v>1.5184364492350666</v>
      </c>
      <c r="C27">
        <f t="shared" si="1"/>
        <v>87</v>
      </c>
    </row>
    <row r="28" spans="1:6">
      <c r="A28" s="57">
        <f t="shared" si="2"/>
        <v>92</v>
      </c>
      <c r="B28" s="24">
        <f t="shared" si="0"/>
        <v>1.605702911834783</v>
      </c>
      <c r="C28">
        <f t="shared" si="1"/>
        <v>92</v>
      </c>
    </row>
    <row r="32" spans="1:6" ht="13.5" thickBot="1"/>
    <row r="33" spans="2:7" ht="13.5" thickBot="1">
      <c r="B33" s="222" t="s">
        <v>14</v>
      </c>
      <c r="C33" s="223"/>
      <c r="D33" s="224"/>
      <c r="E33" s="224"/>
      <c r="F33" s="223"/>
      <c r="G33" s="225"/>
    </row>
    <row r="34" spans="2:7" ht="13.5" thickBot="1">
      <c r="B34" s="226" t="s">
        <v>15</v>
      </c>
      <c r="C34" s="227"/>
      <c r="D34" s="226" t="s">
        <v>16</v>
      </c>
      <c r="E34" s="228"/>
      <c r="F34" s="227" t="s">
        <v>2</v>
      </c>
      <c r="G34" s="228"/>
    </row>
    <row r="35" spans="2:7" ht="13.5" thickBot="1">
      <c r="B35" s="229">
        <v>1200</v>
      </c>
      <c r="C35" s="230"/>
      <c r="D35" s="210">
        <v>12</v>
      </c>
      <c r="E35" s="211"/>
      <c r="F35" s="212">
        <f>D35*B35/1000</f>
        <v>14.4</v>
      </c>
      <c r="G35" s="213"/>
    </row>
    <row r="36" spans="2:7" ht="13.5" thickBot="1">
      <c r="B36" s="100"/>
      <c r="C36" s="101"/>
      <c r="D36" s="2"/>
      <c r="E36" s="3"/>
      <c r="F36" s="1"/>
      <c r="G36" s="1"/>
    </row>
    <row r="37" spans="2:7" ht="13.5" thickBot="1">
      <c r="B37" s="214" t="s">
        <v>17</v>
      </c>
      <c r="C37" s="215"/>
      <c r="D37" s="216">
        <f>ATAN(D35/1000)*180/PI()</f>
        <v>0.68751635463909977</v>
      </c>
      <c r="E37" s="217"/>
      <c r="F37" s="1"/>
      <c r="G37" s="1"/>
    </row>
  </sheetData>
  <sheetProtection password="EBA3" sheet="1" objects="1" scenarios="1" selectLockedCells="1"/>
  <sortState ref="A3:C29">
    <sortCondition ref="A3"/>
  </sortState>
  <mergeCells count="9">
    <mergeCell ref="B37:C37"/>
    <mergeCell ref="D37:E37"/>
    <mergeCell ref="B33:G33"/>
    <mergeCell ref="B34:C34"/>
    <mergeCell ref="D34:E34"/>
    <mergeCell ref="F34:G34"/>
    <mergeCell ref="B35:C35"/>
    <mergeCell ref="D35:E35"/>
    <mergeCell ref="F35:G3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:J44"/>
  <sheetViews>
    <sheetView topLeftCell="A10" zoomScale="110" zoomScaleNormal="110" workbookViewId="0">
      <selection activeCell="E28" sqref="E28"/>
    </sheetView>
  </sheetViews>
  <sheetFormatPr baseColWidth="10" defaultRowHeight="12.75"/>
  <cols>
    <col min="1" max="1" width="9.28515625" customWidth="1"/>
    <col min="2" max="2" width="8.42578125" customWidth="1"/>
    <col min="3" max="3" width="9.140625" customWidth="1"/>
    <col min="5" max="5" width="10.140625" style="60" customWidth="1"/>
    <col min="6" max="6" width="9.28515625" style="57" customWidth="1"/>
    <col min="7" max="7" width="8.42578125" customWidth="1"/>
    <col min="8" max="8" width="9.85546875" customWidth="1"/>
  </cols>
  <sheetData>
    <row r="1" spans="1:10">
      <c r="A1" s="46" t="s">
        <v>52</v>
      </c>
      <c r="B1" s="47" t="s">
        <v>47</v>
      </c>
      <c r="C1" s="47" t="s">
        <v>48</v>
      </c>
      <c r="D1" s="61" t="s">
        <v>6</v>
      </c>
      <c r="E1" s="233" t="s">
        <v>57</v>
      </c>
      <c r="F1" s="234"/>
      <c r="G1" s="231" t="s">
        <v>58</v>
      </c>
      <c r="H1" s="232"/>
    </row>
    <row r="2" spans="1:10">
      <c r="A2" s="43"/>
      <c r="B2" s="41"/>
      <c r="C2" s="41"/>
      <c r="D2" s="65"/>
      <c r="E2" s="109">
        <v>140</v>
      </c>
      <c r="F2" s="110">
        <v>15.2</v>
      </c>
      <c r="G2" s="109">
        <v>142</v>
      </c>
      <c r="H2" s="110">
        <v>0</v>
      </c>
    </row>
    <row r="3" spans="1:10">
      <c r="A3" s="44">
        <v>500</v>
      </c>
      <c r="B3" s="33"/>
      <c r="C3" s="33"/>
      <c r="D3" s="66">
        <f>IF(A3=0,PI()*B3/180*C3,A3)</f>
        <v>500</v>
      </c>
      <c r="E3" s="111">
        <v>15.2</v>
      </c>
      <c r="F3" s="70">
        <f t="shared" ref="F3:F25" si="0">$E$2-E3+$F$2</f>
        <v>140</v>
      </c>
      <c r="G3" s="113">
        <v>3.24</v>
      </c>
      <c r="H3" s="112">
        <f>$G$2+G3-$H$2</f>
        <v>145.24</v>
      </c>
    </row>
    <row r="4" spans="1:10">
      <c r="A4" s="44"/>
      <c r="B4" s="33">
        <v>1000</v>
      </c>
      <c r="C4" s="33">
        <v>10</v>
      </c>
      <c r="D4" s="66">
        <f t="shared" ref="D4:D13" si="1">IF(A4=0,PI()*B4/180*C4,A4)</f>
        <v>174.53292519943292</v>
      </c>
      <c r="E4" s="114">
        <v>13.85</v>
      </c>
      <c r="F4" s="70">
        <f t="shared" si="0"/>
        <v>141.35</v>
      </c>
      <c r="G4" s="115">
        <v>12.9</v>
      </c>
      <c r="H4" s="112">
        <f t="shared" ref="H4:H18" si="2">$G$2+G4-$H$2</f>
        <v>154.9</v>
      </c>
      <c r="I4" s="122" t="s">
        <v>70</v>
      </c>
      <c r="J4" s="122"/>
    </row>
    <row r="5" spans="1:10">
      <c r="A5" s="44"/>
      <c r="B5" s="33">
        <v>750</v>
      </c>
      <c r="C5" s="33">
        <v>15</v>
      </c>
      <c r="D5" s="66">
        <f t="shared" si="1"/>
        <v>196.34954084936206</v>
      </c>
      <c r="E5" s="113">
        <v>12.6</v>
      </c>
      <c r="F5" s="70">
        <f t="shared" si="0"/>
        <v>142.6</v>
      </c>
      <c r="G5" s="115">
        <v>15.76</v>
      </c>
      <c r="H5" s="112">
        <f t="shared" si="2"/>
        <v>157.76</v>
      </c>
      <c r="I5" s="122" t="s">
        <v>79</v>
      </c>
    </row>
    <row r="6" spans="1:10">
      <c r="A6" s="44"/>
      <c r="B6" s="33">
        <v>1000</v>
      </c>
      <c r="C6" s="33">
        <v>10</v>
      </c>
      <c r="D6" s="66">
        <f t="shared" si="1"/>
        <v>174.53292519943292</v>
      </c>
      <c r="E6" s="114">
        <v>12</v>
      </c>
      <c r="F6" s="70">
        <f t="shared" si="0"/>
        <v>143.19999999999999</v>
      </c>
      <c r="G6" s="115"/>
      <c r="H6" s="112">
        <f t="shared" si="2"/>
        <v>142</v>
      </c>
      <c r="I6" s="122" t="s">
        <v>71</v>
      </c>
    </row>
    <row r="7" spans="1:10">
      <c r="A7" s="44">
        <v>250</v>
      </c>
      <c r="B7" s="33"/>
      <c r="C7" s="33"/>
      <c r="D7" s="66">
        <f t="shared" si="1"/>
        <v>250</v>
      </c>
      <c r="E7" s="114">
        <v>9.6300000000000008</v>
      </c>
      <c r="F7" s="70">
        <f t="shared" si="0"/>
        <v>145.57</v>
      </c>
      <c r="G7" s="115"/>
      <c r="H7" s="112">
        <f t="shared" si="2"/>
        <v>142</v>
      </c>
      <c r="I7" s="122" t="s">
        <v>72</v>
      </c>
    </row>
    <row r="8" spans="1:10">
      <c r="A8" s="44"/>
      <c r="B8" s="33"/>
      <c r="C8" s="33"/>
      <c r="D8" s="66">
        <f t="shared" si="1"/>
        <v>0</v>
      </c>
      <c r="E8" s="114">
        <v>8.1999999999999993</v>
      </c>
      <c r="F8" s="70">
        <f t="shared" si="0"/>
        <v>147</v>
      </c>
      <c r="G8" s="115"/>
      <c r="H8" s="112">
        <f t="shared" si="2"/>
        <v>142</v>
      </c>
      <c r="I8" s="122" t="s">
        <v>73</v>
      </c>
    </row>
    <row r="9" spans="1:10">
      <c r="A9" s="44"/>
      <c r="B9" s="33"/>
      <c r="C9" s="33"/>
      <c r="D9" s="66">
        <f t="shared" si="1"/>
        <v>0</v>
      </c>
      <c r="E9" s="114">
        <v>7.28</v>
      </c>
      <c r="F9" s="70">
        <f t="shared" si="0"/>
        <v>147.91999999999999</v>
      </c>
      <c r="G9" s="115"/>
      <c r="H9" s="112">
        <f t="shared" si="2"/>
        <v>142</v>
      </c>
      <c r="I9" s="122" t="s">
        <v>72</v>
      </c>
    </row>
    <row r="10" spans="1:10">
      <c r="A10" s="44"/>
      <c r="B10" s="33"/>
      <c r="C10" s="33"/>
      <c r="D10" s="66">
        <f t="shared" si="1"/>
        <v>0</v>
      </c>
      <c r="E10" s="114">
        <v>6</v>
      </c>
      <c r="F10" s="70">
        <f t="shared" si="0"/>
        <v>149.19999999999999</v>
      </c>
      <c r="G10" s="115"/>
      <c r="H10" s="112">
        <f t="shared" si="2"/>
        <v>142</v>
      </c>
      <c r="I10" s="122" t="s">
        <v>74</v>
      </c>
    </row>
    <row r="11" spans="1:10">
      <c r="A11" s="44"/>
      <c r="B11" s="33"/>
      <c r="C11" s="33"/>
      <c r="D11" s="66">
        <f t="shared" si="1"/>
        <v>0</v>
      </c>
      <c r="E11" s="114">
        <v>5.18</v>
      </c>
      <c r="F11" s="70">
        <f t="shared" si="0"/>
        <v>150.01999999999998</v>
      </c>
      <c r="G11" s="115"/>
      <c r="H11" s="112">
        <f t="shared" si="2"/>
        <v>142</v>
      </c>
      <c r="I11" s="122" t="s">
        <v>75</v>
      </c>
    </row>
    <row r="12" spans="1:10">
      <c r="A12" s="44"/>
      <c r="B12" s="33"/>
      <c r="C12" s="33"/>
      <c r="D12" s="66">
        <f t="shared" si="1"/>
        <v>0</v>
      </c>
      <c r="E12" s="114">
        <v>4</v>
      </c>
      <c r="F12" s="70">
        <f t="shared" si="0"/>
        <v>151.19999999999999</v>
      </c>
      <c r="G12" s="115"/>
      <c r="H12" s="112">
        <f t="shared" si="2"/>
        <v>142</v>
      </c>
      <c r="I12" s="122" t="s">
        <v>76</v>
      </c>
    </row>
    <row r="13" spans="1:10" ht="13.5" thickBot="1">
      <c r="A13" s="45"/>
      <c r="B13" s="33"/>
      <c r="C13" s="33"/>
      <c r="D13" s="66">
        <f t="shared" si="1"/>
        <v>0</v>
      </c>
      <c r="E13" s="114">
        <v>3.3</v>
      </c>
      <c r="F13" s="70">
        <f t="shared" si="0"/>
        <v>151.89999999999998</v>
      </c>
      <c r="G13" s="116"/>
      <c r="H13" s="112">
        <f t="shared" si="2"/>
        <v>142</v>
      </c>
      <c r="I13" s="122" t="s">
        <v>77</v>
      </c>
    </row>
    <row r="14" spans="1:10">
      <c r="A14" s="29"/>
      <c r="B14" s="42"/>
      <c r="C14" s="42"/>
      <c r="D14" s="29"/>
      <c r="E14" s="114">
        <v>2.96</v>
      </c>
      <c r="F14" s="70">
        <f t="shared" si="0"/>
        <v>152.23999999999998</v>
      </c>
      <c r="G14" s="115"/>
      <c r="H14" s="112">
        <f t="shared" si="2"/>
        <v>142</v>
      </c>
      <c r="I14" s="122" t="s">
        <v>76</v>
      </c>
    </row>
    <row r="15" spans="1:10" ht="13.5" thickBot="1">
      <c r="A15" s="59"/>
      <c r="B15" s="33"/>
      <c r="C15" s="33"/>
      <c r="D15" s="67">
        <f>SUM(D3:D14)</f>
        <v>1295.4153912482279</v>
      </c>
      <c r="E15" s="114">
        <v>2.4</v>
      </c>
      <c r="F15" s="70">
        <f t="shared" si="0"/>
        <v>152.79999999999998</v>
      </c>
      <c r="G15" s="115"/>
      <c r="H15" s="112">
        <f t="shared" si="2"/>
        <v>142</v>
      </c>
      <c r="I15" s="122" t="s">
        <v>76</v>
      </c>
    </row>
    <row r="16" spans="1:10" ht="13.5" thickBot="1">
      <c r="A16" s="59" t="s">
        <v>59</v>
      </c>
      <c r="B16" s="33"/>
      <c r="C16" s="33"/>
      <c r="D16" s="33"/>
      <c r="E16" s="117">
        <v>1.88</v>
      </c>
      <c r="F16" s="70">
        <f t="shared" si="0"/>
        <v>153.32</v>
      </c>
      <c r="G16" s="115"/>
      <c r="H16" s="112">
        <f t="shared" si="2"/>
        <v>142</v>
      </c>
      <c r="I16" s="122" t="s">
        <v>76</v>
      </c>
    </row>
    <row r="17" spans="1:9">
      <c r="A17" s="51" t="s">
        <v>55</v>
      </c>
      <c r="B17" s="52" t="s">
        <v>54</v>
      </c>
      <c r="C17" s="53" t="s">
        <v>53</v>
      </c>
      <c r="D17" s="33"/>
      <c r="E17" s="114">
        <v>0.1</v>
      </c>
      <c r="F17" s="70">
        <f t="shared" si="0"/>
        <v>155.1</v>
      </c>
      <c r="G17" s="115"/>
      <c r="H17" s="112">
        <f t="shared" si="2"/>
        <v>142</v>
      </c>
      <c r="I17" s="122" t="s">
        <v>78</v>
      </c>
    </row>
    <row r="18" spans="1:9">
      <c r="A18" s="55"/>
      <c r="B18" s="56"/>
      <c r="C18" s="62">
        <v>11</v>
      </c>
      <c r="D18" s="33" t="s">
        <v>56</v>
      </c>
      <c r="E18" s="114"/>
      <c r="F18" s="70">
        <f t="shared" si="0"/>
        <v>155.19999999999999</v>
      </c>
      <c r="G18" s="115"/>
      <c r="H18" s="112">
        <f t="shared" si="2"/>
        <v>142</v>
      </c>
    </row>
    <row r="19" spans="1:9">
      <c r="A19" s="128">
        <v>4.09</v>
      </c>
      <c r="B19" s="54"/>
      <c r="C19" s="63">
        <v>155</v>
      </c>
      <c r="D19" s="33" t="s">
        <v>61</v>
      </c>
      <c r="E19" s="115"/>
      <c r="F19" s="70">
        <f t="shared" si="0"/>
        <v>155.19999999999999</v>
      </c>
      <c r="G19" s="116"/>
      <c r="H19" s="118"/>
    </row>
    <row r="20" spans="1:9" ht="13.5" thickBot="1">
      <c r="A20" s="129">
        <v>3.65</v>
      </c>
      <c r="B20" s="130">
        <f>(A19-A20)</f>
        <v>0.43999999999999995</v>
      </c>
      <c r="C20" s="64">
        <f>C19-C18+A19-B20/2</f>
        <v>147.87</v>
      </c>
      <c r="D20" s="33"/>
      <c r="E20" s="115"/>
      <c r="F20" s="70">
        <f t="shared" si="0"/>
        <v>155.19999999999999</v>
      </c>
      <c r="G20" s="116"/>
      <c r="H20" s="118"/>
    </row>
    <row r="21" spans="1:9" ht="13.5" thickBot="1">
      <c r="A21" s="59" t="s">
        <v>60</v>
      </c>
      <c r="B21" s="33"/>
      <c r="C21" s="33"/>
      <c r="D21" s="33"/>
      <c r="E21" s="115"/>
      <c r="F21" s="70">
        <f t="shared" si="0"/>
        <v>155.19999999999999</v>
      </c>
      <c r="G21" s="116"/>
      <c r="H21" s="118"/>
    </row>
    <row r="22" spans="1:9">
      <c r="A22" s="51" t="s">
        <v>55</v>
      </c>
      <c r="B22" s="52" t="s">
        <v>54</v>
      </c>
      <c r="C22" s="53" t="s">
        <v>53</v>
      </c>
      <c r="D22" s="33"/>
      <c r="E22" s="115"/>
      <c r="F22" s="70">
        <f t="shared" si="0"/>
        <v>155.19999999999999</v>
      </c>
      <c r="G22" s="116"/>
      <c r="H22" s="118"/>
    </row>
    <row r="23" spans="1:9">
      <c r="A23" s="55"/>
      <c r="B23" s="56"/>
      <c r="C23" s="62">
        <v>11</v>
      </c>
      <c r="D23" s="33" t="s">
        <v>56</v>
      </c>
      <c r="E23" s="115"/>
      <c r="F23" s="70">
        <f t="shared" si="0"/>
        <v>155.19999999999999</v>
      </c>
      <c r="G23" s="116"/>
      <c r="H23" s="118"/>
    </row>
    <row r="24" spans="1:9">
      <c r="A24" s="128">
        <v>4.09</v>
      </c>
      <c r="B24" s="54"/>
      <c r="C24" s="63">
        <v>155</v>
      </c>
      <c r="D24" s="33" t="s">
        <v>53</v>
      </c>
      <c r="E24" s="115"/>
      <c r="F24" s="70">
        <f t="shared" si="0"/>
        <v>155.19999999999999</v>
      </c>
      <c r="G24" s="116"/>
      <c r="H24" s="118"/>
    </row>
    <row r="25" spans="1:9" ht="13.5" thickBot="1">
      <c r="A25" s="129">
        <v>3.65</v>
      </c>
      <c r="B25" s="130">
        <f>(A24-A25)</f>
        <v>0.43999999999999995</v>
      </c>
      <c r="C25" s="64">
        <f>C23+C24-A24+(B25/2)</f>
        <v>162.13</v>
      </c>
      <c r="D25" s="33"/>
      <c r="E25" s="119"/>
      <c r="F25" s="70">
        <f t="shared" si="0"/>
        <v>155.19999999999999</v>
      </c>
      <c r="G25" s="121"/>
      <c r="H25" s="120"/>
    </row>
    <row r="26" spans="1:9" ht="13.5" thickBot="1"/>
    <row r="27" spans="1:9" ht="13.5" thickBot="1">
      <c r="F27" s="235" t="s">
        <v>66</v>
      </c>
      <c r="G27" s="236"/>
    </row>
    <row r="28" spans="1:9">
      <c r="B28" s="29" t="s">
        <v>53</v>
      </c>
      <c r="C28" s="68" t="s">
        <v>65</v>
      </c>
      <c r="D28" s="42" t="s">
        <v>63</v>
      </c>
      <c r="E28" s="88">
        <v>24</v>
      </c>
      <c r="F28" s="83">
        <v>130</v>
      </c>
      <c r="G28" s="84">
        <v>205</v>
      </c>
      <c r="H28" t="s">
        <v>68</v>
      </c>
    </row>
    <row r="29" spans="1:9" ht="13.5" thickBot="1">
      <c r="B29" s="94">
        <v>140</v>
      </c>
      <c r="C29" s="41">
        <v>20</v>
      </c>
      <c r="D29" s="71" t="s">
        <v>64</v>
      </c>
      <c r="E29" s="89">
        <v>170</v>
      </c>
      <c r="F29" s="85">
        <v>90</v>
      </c>
      <c r="G29" s="86">
        <v>517</v>
      </c>
      <c r="H29" t="s">
        <v>69</v>
      </c>
    </row>
    <row r="30" spans="1:9">
      <c r="A30" t="s">
        <v>95</v>
      </c>
      <c r="B30" s="75">
        <v>142.4</v>
      </c>
      <c r="C30" s="38">
        <f>(B30-$B$30)/$E$28*$E$29+$C$29</f>
        <v>20</v>
      </c>
      <c r="D30" s="93" t="s">
        <v>62</v>
      </c>
      <c r="E30" s="69">
        <f>E28/E29</f>
        <v>0.14117647058823529</v>
      </c>
      <c r="F30" s="87">
        <v>111</v>
      </c>
      <c r="G30" s="77">
        <f>$F$28+ (F30-$F$29)*($G$28-$F$28)/($G$29-$F$29)</f>
        <v>133.68852459016392</v>
      </c>
      <c r="I30">
        <f>$F$28+ (F30-$F$29)*($G$28-$F$28)/($G$29-$F$29)</f>
        <v>133.68852459016392</v>
      </c>
    </row>
    <row r="31" spans="1:9">
      <c r="A31" t="s">
        <v>96</v>
      </c>
      <c r="B31" s="87">
        <v>146.80000000000001</v>
      </c>
      <c r="C31" s="38">
        <f t="shared" ref="C31:C43" si="3">(B31-$B$30)/$E$28*$E$29+$C$29</f>
        <v>51.166666666666707</v>
      </c>
      <c r="D31" s="73"/>
      <c r="E31" s="77"/>
      <c r="F31" s="87">
        <v>148</v>
      </c>
      <c r="G31" s="77">
        <f t="shared" ref="G31:G43" si="4">$F$28+ (F31-$F$29)*($G$28-$F$28)/($G$29-$F$29)</f>
        <v>140.18735362997657</v>
      </c>
    </row>
    <row r="32" spans="1:9">
      <c r="A32" t="s">
        <v>97</v>
      </c>
      <c r="B32" s="87">
        <v>149.19999999999999</v>
      </c>
      <c r="C32" s="38">
        <f t="shared" si="3"/>
        <v>68.166666666666544</v>
      </c>
      <c r="D32" s="73"/>
      <c r="E32" s="77"/>
      <c r="F32" s="87">
        <v>180</v>
      </c>
      <c r="G32" s="77">
        <f t="shared" si="4"/>
        <v>145.80796252927399</v>
      </c>
    </row>
    <row r="33" spans="1:8">
      <c r="A33" t="s">
        <v>98</v>
      </c>
      <c r="B33" s="87">
        <v>150</v>
      </c>
      <c r="C33" s="38">
        <f t="shared" si="3"/>
        <v>73.833333333333286</v>
      </c>
      <c r="D33" s="73"/>
      <c r="E33" s="77"/>
      <c r="F33" s="87">
        <v>195</v>
      </c>
      <c r="G33" s="77">
        <f t="shared" si="4"/>
        <v>148.44262295081967</v>
      </c>
    </row>
    <row r="34" spans="1:8">
      <c r="A34" t="s">
        <v>99</v>
      </c>
      <c r="B34" s="87">
        <v>155</v>
      </c>
      <c r="C34" s="38">
        <f t="shared" si="3"/>
        <v>109.24999999999997</v>
      </c>
      <c r="D34" s="72"/>
      <c r="E34" s="77"/>
      <c r="F34" s="87">
        <v>299</v>
      </c>
      <c r="G34" s="77">
        <f t="shared" si="4"/>
        <v>166.70960187353631</v>
      </c>
    </row>
    <row r="35" spans="1:8">
      <c r="A35" s="122" t="s">
        <v>100</v>
      </c>
      <c r="B35" s="87">
        <v>166</v>
      </c>
      <c r="C35" s="38">
        <f t="shared" si="3"/>
        <v>187.16666666666663</v>
      </c>
      <c r="D35" s="72"/>
      <c r="E35" s="77"/>
      <c r="F35" s="87">
        <v>517</v>
      </c>
      <c r="G35" s="77">
        <f t="shared" si="4"/>
        <v>205</v>
      </c>
    </row>
    <row r="36" spans="1:8">
      <c r="B36" s="87"/>
      <c r="C36" s="38">
        <f t="shared" si="3"/>
        <v>-988.66666666666674</v>
      </c>
      <c r="D36" s="72"/>
      <c r="E36" s="77"/>
      <c r="F36" s="87"/>
      <c r="G36" s="77">
        <f t="shared" si="4"/>
        <v>114.19203747072599</v>
      </c>
    </row>
    <row r="37" spans="1:8">
      <c r="B37" s="87"/>
      <c r="C37" s="38">
        <f t="shared" si="3"/>
        <v>-988.66666666666674</v>
      </c>
      <c r="D37" s="72"/>
      <c r="E37" s="76"/>
      <c r="F37" s="87"/>
      <c r="G37" s="77">
        <f t="shared" si="4"/>
        <v>114.19203747072599</v>
      </c>
      <c r="H37" s="57">
        <f>C37/(B37-B30)*$E$28</f>
        <v>166.62921348314609</v>
      </c>
    </row>
    <row r="38" spans="1:8">
      <c r="B38" s="87"/>
      <c r="C38" s="38">
        <f t="shared" si="3"/>
        <v>-988.66666666666674</v>
      </c>
      <c r="D38" s="72"/>
      <c r="E38" s="69"/>
      <c r="F38" s="87"/>
      <c r="G38" s="77">
        <f t="shared" si="4"/>
        <v>114.19203747072599</v>
      </c>
    </row>
    <row r="39" spans="1:8">
      <c r="B39" s="87"/>
      <c r="C39" s="38">
        <f t="shared" si="3"/>
        <v>-988.66666666666674</v>
      </c>
      <c r="D39" s="72"/>
      <c r="E39" s="69"/>
      <c r="F39" s="87"/>
      <c r="G39" s="77">
        <f t="shared" si="4"/>
        <v>114.19203747072599</v>
      </c>
    </row>
    <row r="40" spans="1:8">
      <c r="B40" s="87"/>
      <c r="C40" s="38">
        <f t="shared" si="3"/>
        <v>-988.66666666666674</v>
      </c>
      <c r="D40" s="72"/>
      <c r="E40" s="69"/>
      <c r="F40" s="87"/>
      <c r="G40" s="77">
        <f t="shared" si="4"/>
        <v>114.19203747072599</v>
      </c>
    </row>
    <row r="41" spans="1:8">
      <c r="B41" s="87"/>
      <c r="C41" s="38">
        <f t="shared" si="3"/>
        <v>-988.66666666666674</v>
      </c>
      <c r="D41" s="72"/>
      <c r="E41" s="69"/>
      <c r="F41" s="87"/>
      <c r="G41" s="77">
        <f t="shared" si="4"/>
        <v>114.19203747072599</v>
      </c>
    </row>
    <row r="42" spans="1:8">
      <c r="B42" s="87"/>
      <c r="C42" s="38">
        <f t="shared" si="3"/>
        <v>-988.66666666666674</v>
      </c>
      <c r="D42" s="72"/>
      <c r="E42" s="69"/>
      <c r="F42" s="87"/>
      <c r="G42" s="77">
        <f t="shared" si="4"/>
        <v>114.19203747072599</v>
      </c>
    </row>
    <row r="43" spans="1:8" ht="13.5" thickBot="1">
      <c r="A43" t="s">
        <v>67</v>
      </c>
      <c r="B43" s="75">
        <v>112.6</v>
      </c>
      <c r="C43" s="38">
        <f t="shared" si="3"/>
        <v>-191.08333333333343</v>
      </c>
      <c r="D43" s="72"/>
      <c r="E43" s="90"/>
      <c r="F43" s="87"/>
      <c r="G43" s="77">
        <f t="shared" si="4"/>
        <v>114.19203747072599</v>
      </c>
    </row>
    <row r="44" spans="1:8" ht="13.5" thickBot="1">
      <c r="B44" s="91"/>
      <c r="C44" s="78"/>
      <c r="D44" s="74"/>
      <c r="E44" s="92"/>
      <c r="F44" s="79">
        <f>ABS(F30-F43)/10</f>
        <v>11.1</v>
      </c>
      <c r="G44" s="80"/>
    </row>
  </sheetData>
  <mergeCells count="3">
    <mergeCell ref="G1:H1"/>
    <mergeCell ref="E1:F1"/>
    <mergeCell ref="F27:G27"/>
  </mergeCells>
  <phoneticPr fontId="2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8"/>
  <dimension ref="A1:G16"/>
  <sheetViews>
    <sheetView workbookViewId="0">
      <selection activeCell="B15" sqref="B15"/>
    </sheetView>
  </sheetViews>
  <sheetFormatPr baseColWidth="10" defaultColWidth="0" defaultRowHeight="20.25" customHeight="1"/>
  <cols>
    <col min="1" max="1" width="18.140625" style="187" customWidth="1"/>
    <col min="2" max="2" width="15.85546875" style="188" customWidth="1"/>
    <col min="3" max="3" width="14.85546875" style="136" customWidth="1"/>
    <col min="4" max="7" width="0" style="4" hidden="1" customWidth="1"/>
    <col min="8" max="16384" width="11.42578125" style="4" hidden="1"/>
  </cols>
  <sheetData>
    <row r="1" spans="1:3" ht="20.25" customHeight="1">
      <c r="A1" s="185" t="s">
        <v>105</v>
      </c>
      <c r="B1" s="186" t="s">
        <v>103</v>
      </c>
      <c r="C1" s="135" t="s">
        <v>104</v>
      </c>
    </row>
    <row r="2" spans="1:3" ht="20.25" customHeight="1">
      <c r="B2" s="188" t="s">
        <v>80</v>
      </c>
      <c r="C2" s="136">
        <f>B2*24*3600</f>
        <v>25260.000000000004</v>
      </c>
    </row>
    <row r="3" spans="1:3" ht="20.25" customHeight="1">
      <c r="B3" s="188" t="s">
        <v>81</v>
      </c>
      <c r="C3" s="136">
        <f t="shared" ref="C3:C16" si="0">B3*24*3600</f>
        <v>26340</v>
      </c>
    </row>
    <row r="4" spans="1:3" ht="20.25" customHeight="1">
      <c r="B4" s="188" t="s">
        <v>82</v>
      </c>
      <c r="C4" s="136">
        <f t="shared" si="0"/>
        <v>26640</v>
      </c>
    </row>
    <row r="5" spans="1:3" ht="20.25" customHeight="1">
      <c r="B5" s="188" t="s">
        <v>83</v>
      </c>
      <c r="C5" s="136">
        <f t="shared" si="0"/>
        <v>27360</v>
      </c>
    </row>
    <row r="6" spans="1:3" ht="20.25" customHeight="1">
      <c r="B6" s="188" t="s">
        <v>84</v>
      </c>
      <c r="C6" s="136">
        <f t="shared" si="0"/>
        <v>28560</v>
      </c>
    </row>
    <row r="7" spans="1:3" ht="20.25" customHeight="1">
      <c r="B7" s="188" t="s">
        <v>85</v>
      </c>
      <c r="C7" s="136">
        <f t="shared" si="0"/>
        <v>29100.000000000004</v>
      </c>
    </row>
    <row r="8" spans="1:3" ht="20.25" customHeight="1">
      <c r="B8" s="188" t="s">
        <v>86</v>
      </c>
      <c r="C8" s="136">
        <f t="shared" si="0"/>
        <v>29700</v>
      </c>
    </row>
    <row r="9" spans="1:3" ht="20.25" customHeight="1">
      <c r="B9" s="188" t="s">
        <v>87</v>
      </c>
      <c r="C9" s="136">
        <f t="shared" si="0"/>
        <v>30360</v>
      </c>
    </row>
    <row r="10" spans="1:3" ht="20.25" customHeight="1">
      <c r="B10" s="188" t="s">
        <v>88</v>
      </c>
      <c r="C10" s="136">
        <f t="shared" si="0"/>
        <v>31199.999999999996</v>
      </c>
    </row>
    <row r="11" spans="1:3" ht="20.25" customHeight="1">
      <c r="B11" s="188" t="s">
        <v>89</v>
      </c>
      <c r="C11" s="136">
        <f t="shared" si="0"/>
        <v>31920</v>
      </c>
    </row>
    <row r="12" spans="1:3" ht="20.25" customHeight="1">
      <c r="B12" s="188" t="s">
        <v>90</v>
      </c>
      <c r="C12" s="136">
        <f t="shared" si="0"/>
        <v>32880</v>
      </c>
    </row>
    <row r="13" spans="1:3" ht="20.25" customHeight="1">
      <c r="B13" s="188" t="s">
        <v>91</v>
      </c>
      <c r="C13" s="136">
        <f t="shared" si="0"/>
        <v>33660</v>
      </c>
    </row>
    <row r="14" spans="1:3" ht="20.25" customHeight="1">
      <c r="B14" s="188" t="s">
        <v>92</v>
      </c>
      <c r="C14" s="136">
        <f t="shared" si="0"/>
        <v>34440</v>
      </c>
    </row>
    <row r="15" spans="1:3" ht="20.25" customHeight="1">
      <c r="B15" s="188" t="s">
        <v>93</v>
      </c>
      <c r="C15" s="136">
        <f t="shared" si="0"/>
        <v>35640</v>
      </c>
    </row>
    <row r="16" spans="1:3" ht="20.25" customHeight="1">
      <c r="B16" s="188" t="s">
        <v>94</v>
      </c>
      <c r="C16" s="136">
        <f t="shared" si="0"/>
        <v>36480</v>
      </c>
    </row>
  </sheetData>
  <sheetProtection password="EBA3" sheet="1" objects="1" scenarios="1" selectLockedCells="1"/>
  <phoneticPr fontId="2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2" sqref="D2"/>
    </sheetView>
  </sheetViews>
  <sheetFormatPr baseColWidth="10" defaultRowHeight="19.5" customHeight="1"/>
  <cols>
    <col min="1" max="2" width="11.42578125" style="189"/>
    <col min="3" max="3" width="11.42578125" style="190"/>
    <col min="4" max="4" width="11.42578125" style="189"/>
    <col min="6" max="16384" width="11.42578125" style="189"/>
  </cols>
  <sheetData>
    <row r="1" spans="1:5" s="191" customFormat="1" ht="19.5" customHeight="1">
      <c r="A1" s="191" t="s">
        <v>50</v>
      </c>
      <c r="C1" s="192" t="s">
        <v>115</v>
      </c>
    </row>
    <row r="2" spans="1:5" ht="19.5" customHeight="1">
      <c r="A2" s="189">
        <v>50</v>
      </c>
      <c r="C2" s="190">
        <f t="shared" ref="C2:C21" si="0">POWER(A2,0.55)*3.6-25+20*(A2/1000)</f>
        <v>6.9553702697148765</v>
      </c>
      <c r="E2" s="189"/>
    </row>
    <row r="3" spans="1:5" ht="19.5" customHeight="1">
      <c r="A3" s="189">
        <f>A2+50</f>
        <v>100</v>
      </c>
      <c r="C3" s="190">
        <f t="shared" si="0"/>
        <v>22.321314824590047</v>
      </c>
      <c r="E3" s="189"/>
    </row>
    <row r="4" spans="1:5" ht="19.5" customHeight="1">
      <c r="A4" s="189">
        <f t="shared" ref="A4:A21" si="1">A3+50</f>
        <v>150</v>
      </c>
      <c r="C4" s="190">
        <f t="shared" si="0"/>
        <v>34.6438407656807</v>
      </c>
      <c r="E4" s="189"/>
    </row>
    <row r="5" spans="1:5" ht="19.5" customHeight="1">
      <c r="A5" s="189">
        <f t="shared" si="1"/>
        <v>200</v>
      </c>
      <c r="C5" s="190">
        <f t="shared" si="0"/>
        <v>45.354288756130686</v>
      </c>
      <c r="E5" s="189"/>
    </row>
    <row r="6" spans="1:5" ht="19.5" customHeight="1">
      <c r="A6" s="189">
        <f t="shared" si="1"/>
        <v>250</v>
      </c>
      <c r="C6" s="190">
        <f t="shared" si="0"/>
        <v>55.018695085903673</v>
      </c>
      <c r="E6" s="189"/>
    </row>
    <row r="7" spans="1:5" ht="19.5" customHeight="1">
      <c r="A7" s="189">
        <f t="shared" si="1"/>
        <v>300</v>
      </c>
      <c r="C7" s="190">
        <f t="shared" si="0"/>
        <v>63.931437028454823</v>
      </c>
      <c r="E7" s="189"/>
    </row>
    <row r="8" spans="1:5" ht="19.5" customHeight="1">
      <c r="A8" s="189">
        <f t="shared" si="1"/>
        <v>350</v>
      </c>
      <c r="C8" s="190">
        <f t="shared" si="0"/>
        <v>72.269268916873628</v>
      </c>
      <c r="E8" s="189"/>
    </row>
    <row r="9" spans="1:5" ht="19.5" customHeight="1">
      <c r="A9" s="189">
        <f t="shared" si="1"/>
        <v>400</v>
      </c>
      <c r="C9" s="190">
        <f t="shared" si="0"/>
        <v>80.148365032496585</v>
      </c>
      <c r="E9" s="189"/>
    </row>
    <row r="10" spans="1:5" ht="19.5" customHeight="1">
      <c r="A10" s="189">
        <f t="shared" si="1"/>
        <v>450</v>
      </c>
      <c r="C10" s="190">
        <f t="shared" si="0"/>
        <v>87.650018356486797</v>
      </c>
      <c r="E10" s="189"/>
    </row>
    <row r="11" spans="1:5" ht="19.5" customHeight="1">
      <c r="A11" s="189">
        <f t="shared" si="1"/>
        <v>500</v>
      </c>
      <c r="C11" s="190">
        <f t="shared" si="0"/>
        <v>94.833798403777948</v>
      </c>
      <c r="E11" s="189"/>
    </row>
    <row r="12" spans="1:5" ht="19.5" customHeight="1">
      <c r="A12" s="189">
        <f t="shared" si="1"/>
        <v>550</v>
      </c>
      <c r="C12" s="190">
        <f t="shared" si="0"/>
        <v>101.7449308999754</v>
      </c>
      <c r="E12" s="189"/>
    </row>
    <row r="13" spans="1:5" ht="19.5" customHeight="1">
      <c r="A13" s="189">
        <f t="shared" si="1"/>
        <v>600</v>
      </c>
      <c r="C13" s="190">
        <f t="shared" si="0"/>
        <v>108.41873069757611</v>
      </c>
      <c r="E13" s="189"/>
    </row>
    <row r="14" spans="1:5" ht="19.5" customHeight="1">
      <c r="A14" s="189">
        <f t="shared" si="1"/>
        <v>650</v>
      </c>
      <c r="C14" s="190">
        <f t="shared" si="0"/>
        <v>114.8834114893389</v>
      </c>
      <c r="E14" s="189"/>
    </row>
    <row r="15" spans="1:5" ht="19.5" customHeight="1">
      <c r="A15" s="189">
        <f t="shared" si="1"/>
        <v>700</v>
      </c>
      <c r="C15" s="190">
        <f t="shared" si="0"/>
        <v>121.16194540466375</v>
      </c>
      <c r="E15" s="189"/>
    </row>
    <row r="16" spans="1:5" ht="19.5" customHeight="1">
      <c r="A16" s="189">
        <f t="shared" si="1"/>
        <v>750</v>
      </c>
      <c r="C16" s="190">
        <f t="shared" si="0"/>
        <v>127.27333841819438</v>
      </c>
      <c r="E16" s="189"/>
    </row>
    <row r="17" spans="1:5" ht="19.5" customHeight="1">
      <c r="A17" s="189">
        <f t="shared" si="1"/>
        <v>800</v>
      </c>
      <c r="C17" s="190">
        <f t="shared" si="0"/>
        <v>133.23353162858243</v>
      </c>
      <c r="E17" s="189"/>
    </row>
    <row r="18" spans="1:5" ht="19.5" customHeight="1">
      <c r="A18" s="189">
        <f t="shared" si="1"/>
        <v>850</v>
      </c>
      <c r="C18" s="190">
        <f t="shared" si="0"/>
        <v>139.05605456700806</v>
      </c>
      <c r="E18" s="189"/>
    </row>
    <row r="19" spans="1:5" ht="19.5" customHeight="1">
      <c r="A19" s="189">
        <f t="shared" si="1"/>
        <v>900</v>
      </c>
      <c r="C19" s="190">
        <f t="shared" si="0"/>
        <v>144.75250926023384</v>
      </c>
      <c r="E19" s="189"/>
    </row>
    <row r="20" spans="1:5" ht="19.5" customHeight="1">
      <c r="A20" s="189">
        <f t="shared" si="1"/>
        <v>950</v>
      </c>
      <c r="C20" s="190">
        <f t="shared" si="0"/>
        <v>150.33293581114549</v>
      </c>
      <c r="E20" s="189"/>
    </row>
    <row r="21" spans="1:5" ht="19.5" customHeight="1">
      <c r="A21" s="189">
        <f t="shared" si="1"/>
        <v>1000</v>
      </c>
      <c r="C21" s="190">
        <f t="shared" si="0"/>
        <v>155.80609317434676</v>
      </c>
      <c r="E21" s="1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Commentaires</vt:lpstr>
      <vt:lpstr>Freinage</vt:lpstr>
      <vt:lpstr>Pente</vt:lpstr>
      <vt:lpstr>Angles</vt:lpstr>
      <vt:lpstr>PK</vt:lpstr>
      <vt:lpstr>Heure</vt:lpstr>
      <vt:lpstr>Courbe</vt:lpstr>
      <vt:lpstr>Freinage!Zone_d_impression</vt:lpstr>
      <vt:lpstr>Pente!Zone_d_impression</vt:lpstr>
    </vt:vector>
  </TitlesOfParts>
  <Company>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Bernard</cp:lastModifiedBy>
  <cp:lastPrinted>2003-03-16T16:33:58Z</cp:lastPrinted>
  <dcterms:created xsi:type="dcterms:W3CDTF">2003-03-16T15:44:24Z</dcterms:created>
  <dcterms:modified xsi:type="dcterms:W3CDTF">2013-02-23T07:27:05Z</dcterms:modified>
</cp:coreProperties>
</file>